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workbookProtection lockStructure="1"/>
  <bookViews>
    <workbookView xWindow="-105" yWindow="-105" windowWidth="15600" windowHeight="11760" tabRatio="702" activeTab="4"/>
  </bookViews>
  <sheets>
    <sheet name="DATA INPUT SHEET" sheetId="27" r:id="rId1"/>
    <sheet name="Internal" sheetId="13" r:id="rId2"/>
    <sheet name="Student Feedback Analysis" sheetId="31" r:id="rId3"/>
    <sheet name="UNIVERSITY" sheetId="25" r:id="rId4"/>
    <sheet name="COAttainment" sheetId="26" r:id="rId5"/>
    <sheet name="Indirect" sheetId="22" r:id="rId6"/>
    <sheet name="POAttainment" sheetId="24" r:id="rId7"/>
    <sheet name="Feedback" sheetId="32" r:id="rId8"/>
  </sheets>
  <calcPr calcId="124519"/>
</workbook>
</file>

<file path=xl/calcChain.xml><?xml version="1.0" encoding="utf-8"?>
<calcChain xmlns="http://schemas.openxmlformats.org/spreadsheetml/2006/main">
  <c r="K4" i="32"/>
  <c r="C14" i="25"/>
  <c r="R32" i="22"/>
  <c r="Q9" i="24" s="1"/>
  <c r="R33" i="22"/>
  <c r="R34"/>
  <c r="Q11" i="24" s="1"/>
  <c r="R35" i="22"/>
  <c r="R31"/>
  <c r="Q8" i="24" s="1"/>
  <c r="D32" i="32"/>
  <c r="D31"/>
  <c r="D30"/>
  <c r="D29"/>
  <c r="D28"/>
  <c r="A32"/>
  <c r="A31"/>
  <c r="A30"/>
  <c r="A29"/>
  <c r="A28"/>
  <c r="K27"/>
  <c r="G27"/>
  <c r="G26"/>
  <c r="A27"/>
  <c r="A26"/>
  <c r="A3"/>
  <c r="B72" i="25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D7" i="32"/>
  <c r="D5" i="25"/>
  <c r="A5"/>
  <c r="G12" i="31"/>
  <c r="L11" s="1"/>
  <c r="A3" i="13"/>
  <c r="D4"/>
  <c r="E3"/>
  <c r="K3"/>
  <c r="A4"/>
  <c r="A5"/>
  <c r="D5"/>
  <c r="A6"/>
  <c r="D6"/>
  <c r="A7"/>
  <c r="D7"/>
  <c r="A8"/>
  <c r="D8"/>
  <c r="G13"/>
  <c r="H13"/>
  <c r="O17" i="31"/>
  <c r="N17"/>
  <c r="M17"/>
  <c r="L17"/>
  <c r="K17"/>
  <c r="D9" i="32"/>
  <c r="D8"/>
  <c r="D6"/>
  <c r="D5"/>
  <c r="A9"/>
  <c r="A8"/>
  <c r="A7"/>
  <c r="A6"/>
  <c r="A5"/>
  <c r="G4"/>
  <c r="A4"/>
  <c r="G3"/>
  <c r="C3" i="26"/>
  <c r="E3" i="25"/>
  <c r="E3" i="31"/>
  <c r="J20" i="22"/>
  <c r="H4" i="31"/>
  <c r="D5"/>
  <c r="A4"/>
  <c r="A3"/>
  <c r="H12"/>
  <c r="I12"/>
  <c r="N11" s="1"/>
  <c r="J12"/>
  <c r="O11" s="1"/>
  <c r="F12"/>
  <c r="K11" s="1"/>
  <c r="M11"/>
  <c r="D9"/>
  <c r="A9"/>
  <c r="D8"/>
  <c r="A8"/>
  <c r="D7"/>
  <c r="A7"/>
  <c r="D6"/>
  <c r="A6"/>
  <c r="A5"/>
  <c r="D26" i="22"/>
  <c r="F26"/>
  <c r="E26"/>
  <c r="D22"/>
  <c r="D25"/>
  <c r="D23"/>
  <c r="G26"/>
  <c r="D24"/>
  <c r="E23"/>
  <c r="E24"/>
  <c r="E25"/>
  <c r="E22"/>
  <c r="F25"/>
  <c r="F24"/>
  <c r="G25"/>
  <c r="F23"/>
  <c r="G24"/>
  <c r="F22"/>
  <c r="G23"/>
  <c r="G22"/>
  <c r="H15" i="25"/>
  <c r="D14"/>
  <c r="B14"/>
  <c r="E31" i="22"/>
  <c r="D8" i="24" s="1"/>
  <c r="F31" i="22"/>
  <c r="E8" i="24" s="1"/>
  <c r="G31" i="22"/>
  <c r="F8" i="24" s="1"/>
  <c r="H31" i="22"/>
  <c r="G8" i="24" s="1"/>
  <c r="I31" i="22"/>
  <c r="H8" i="24" s="1"/>
  <c r="J31" i="22"/>
  <c r="I8" i="24" s="1"/>
  <c r="K31" i="22"/>
  <c r="J8" i="24" s="1"/>
  <c r="L31" i="22"/>
  <c r="K8" i="24" s="1"/>
  <c r="M31" i="22"/>
  <c r="L8" i="24" s="1"/>
  <c r="N31" i="22"/>
  <c r="M8" i="24" s="1"/>
  <c r="O31" i="22"/>
  <c r="N8" i="24" s="1"/>
  <c r="P31" i="22"/>
  <c r="O8" i="24" s="1"/>
  <c r="Q31" i="22"/>
  <c r="P8" i="24" s="1"/>
  <c r="E32" i="22"/>
  <c r="D9" i="24" s="1"/>
  <c r="F32" i="22"/>
  <c r="E9" i="24" s="1"/>
  <c r="G32" i="22"/>
  <c r="F9" i="24" s="1"/>
  <c r="H32" i="22"/>
  <c r="G9" i="24" s="1"/>
  <c r="I32" i="22"/>
  <c r="H9" i="24" s="1"/>
  <c r="J32" i="22"/>
  <c r="I9" i="24" s="1"/>
  <c r="K32" i="22"/>
  <c r="J9" i="24" s="1"/>
  <c r="L32" i="22"/>
  <c r="K9" i="24" s="1"/>
  <c r="M32" i="22"/>
  <c r="L9" i="24" s="1"/>
  <c r="N32" i="22"/>
  <c r="M9" i="24" s="1"/>
  <c r="O32" i="22"/>
  <c r="N9" i="24" s="1"/>
  <c r="P32" i="22"/>
  <c r="O9" i="24" s="1"/>
  <c r="Q32" i="22"/>
  <c r="P9" i="24" s="1"/>
  <c r="E33" i="22"/>
  <c r="D10" i="24" s="1"/>
  <c r="F33" i="22"/>
  <c r="E10" i="24" s="1"/>
  <c r="G33" i="22"/>
  <c r="F10" i="24" s="1"/>
  <c r="H33" i="22"/>
  <c r="G10" i="24" s="1"/>
  <c r="I33" i="22"/>
  <c r="H10" i="24" s="1"/>
  <c r="J33" i="22"/>
  <c r="I10" i="24" s="1"/>
  <c r="K33" i="22"/>
  <c r="J10" i="24" s="1"/>
  <c r="L33" i="22"/>
  <c r="K10" i="24" s="1"/>
  <c r="M33" i="22"/>
  <c r="L10" i="24" s="1"/>
  <c r="N33" i="22"/>
  <c r="M10" i="24" s="1"/>
  <c r="O33" i="22"/>
  <c r="N10" i="24" s="1"/>
  <c r="P33" i="22"/>
  <c r="O10" i="24" s="1"/>
  <c r="Q33" i="22"/>
  <c r="P10" i="24" s="1"/>
  <c r="E34" i="22"/>
  <c r="D11" i="24" s="1"/>
  <c r="F34" i="22"/>
  <c r="E11" i="24" s="1"/>
  <c r="G34" i="22"/>
  <c r="F11" i="24" s="1"/>
  <c r="H34" i="22"/>
  <c r="G11" i="24" s="1"/>
  <c r="I34" i="22"/>
  <c r="H11" i="24" s="1"/>
  <c r="H20" s="1"/>
  <c r="J34" i="22"/>
  <c r="I11" i="24" s="1"/>
  <c r="I20" s="1"/>
  <c r="K34" i="22"/>
  <c r="J11" i="24" s="1"/>
  <c r="J20" s="1"/>
  <c r="L34" i="22"/>
  <c r="K11" i="24" s="1"/>
  <c r="K20" s="1"/>
  <c r="M34" i="22"/>
  <c r="L11" i="24" s="1"/>
  <c r="N34" i="22"/>
  <c r="M11" i="24" s="1"/>
  <c r="O34" i="22"/>
  <c r="N11" i="24" s="1"/>
  <c r="P34" i="22"/>
  <c r="O11" i="24" s="1"/>
  <c r="Q34" i="22"/>
  <c r="P11" i="24" s="1"/>
  <c r="E35" i="22"/>
  <c r="D12" i="24" s="1"/>
  <c r="F35" i="22"/>
  <c r="E12" i="24" s="1"/>
  <c r="G35" i="22"/>
  <c r="F12" i="24" s="1"/>
  <c r="H35" i="22"/>
  <c r="G12" i="24" s="1"/>
  <c r="I35" i="22"/>
  <c r="H12" i="24" s="1"/>
  <c r="J35" i="22"/>
  <c r="I12" i="24" s="1"/>
  <c r="K35" i="22"/>
  <c r="J12" i="24" s="1"/>
  <c r="L35" i="22"/>
  <c r="K12" i="24" s="1"/>
  <c r="M35" i="22"/>
  <c r="L12" i="24" s="1"/>
  <c r="N35" i="22"/>
  <c r="M12" i="24" s="1"/>
  <c r="O35" i="22"/>
  <c r="N12" i="24" s="1"/>
  <c r="P35" i="22"/>
  <c r="O12" i="24" s="1"/>
  <c r="Q35" i="22"/>
  <c r="P12" i="24" s="1"/>
  <c r="D32" i="22"/>
  <c r="C9" i="24" s="1"/>
  <c r="D33" i="22"/>
  <c r="C10" i="24" s="1"/>
  <c r="D34" i="22"/>
  <c r="C11" i="24" s="1"/>
  <c r="D35" i="22"/>
  <c r="C12" i="24" s="1"/>
  <c r="D31" i="22"/>
  <c r="C8" i="24" s="1"/>
  <c r="J28" i="25"/>
  <c r="J30"/>
  <c r="J34"/>
  <c r="J39"/>
  <c r="H14"/>
  <c r="J16"/>
  <c r="J17"/>
  <c r="J18"/>
  <c r="J19"/>
  <c r="J20"/>
  <c r="J21"/>
  <c r="J22"/>
  <c r="J23"/>
  <c r="J24"/>
  <c r="J25"/>
  <c r="J26"/>
  <c r="J27"/>
  <c r="J29"/>
  <c r="J31"/>
  <c r="J32"/>
  <c r="J33"/>
  <c r="J35"/>
  <c r="J36"/>
  <c r="J37"/>
  <c r="J38"/>
  <c r="J40"/>
  <c r="J41"/>
  <c r="J42"/>
  <c r="J43"/>
  <c r="J4" i="24"/>
  <c r="E4"/>
  <c r="E3"/>
  <c r="A4"/>
  <c r="A3"/>
  <c r="J4" i="22"/>
  <c r="E4"/>
  <c r="E3"/>
  <c r="A4"/>
  <c r="A3"/>
  <c r="D7"/>
  <c r="D8"/>
  <c r="D9"/>
  <c r="D10"/>
  <c r="D6"/>
  <c r="A7"/>
  <c r="A8"/>
  <c r="A9"/>
  <c r="A10"/>
  <c r="A6"/>
  <c r="E4" i="26"/>
  <c r="C4"/>
  <c r="A4"/>
  <c r="A3"/>
  <c r="C6"/>
  <c r="C7"/>
  <c r="C8"/>
  <c r="C9"/>
  <c r="C5"/>
  <c r="A6"/>
  <c r="A7"/>
  <c r="A8"/>
  <c r="A9"/>
  <c r="A5"/>
  <c r="E4" i="25"/>
  <c r="A4"/>
  <c r="A3"/>
  <c r="D6"/>
  <c r="D7"/>
  <c r="D8"/>
  <c r="D9"/>
  <c r="A7"/>
  <c r="A8"/>
  <c r="A9"/>
  <c r="A6"/>
  <c r="J44" i="22"/>
  <c r="K44"/>
  <c r="N44"/>
  <c r="B71" i="25"/>
  <c r="C70"/>
  <c r="B69"/>
  <c r="C68"/>
  <c r="B67"/>
  <c r="C66"/>
  <c r="B65"/>
  <c r="C64"/>
  <c r="B63"/>
  <c r="C62"/>
  <c r="B61"/>
  <c r="C60"/>
  <c r="B59"/>
  <c r="C58"/>
  <c r="B57"/>
  <c r="C56"/>
  <c r="B55"/>
  <c r="C54"/>
  <c r="B53"/>
  <c r="C52"/>
  <c r="B51"/>
  <c r="C50"/>
  <c r="B49"/>
  <c r="C48"/>
  <c r="B47"/>
  <c r="C46"/>
  <c r="B45"/>
  <c r="C44"/>
  <c r="D43"/>
  <c r="B43"/>
  <c r="C42"/>
  <c r="D41"/>
  <c r="B41"/>
  <c r="C40"/>
  <c r="D39"/>
  <c r="B39"/>
  <c r="C38"/>
  <c r="D37"/>
  <c r="B37"/>
  <c r="C36"/>
  <c r="D35"/>
  <c r="B35"/>
  <c r="C34"/>
  <c r="D33"/>
  <c r="B33"/>
  <c r="C32"/>
  <c r="D31"/>
  <c r="B31"/>
  <c r="C30"/>
  <c r="D29"/>
  <c r="B29"/>
  <c r="C28"/>
  <c r="D27"/>
  <c r="B27"/>
  <c r="C26"/>
  <c r="D25"/>
  <c r="B25"/>
  <c r="C24"/>
  <c r="D23"/>
  <c r="B23"/>
  <c r="C22"/>
  <c r="D21"/>
  <c r="B21"/>
  <c r="C20"/>
  <c r="D19"/>
  <c r="B19"/>
  <c r="C18"/>
  <c r="D17"/>
  <c r="B17"/>
  <c r="C16"/>
  <c r="D15"/>
  <c r="B15"/>
  <c r="C71"/>
  <c r="B70"/>
  <c r="C69"/>
  <c r="B68"/>
  <c r="C67"/>
  <c r="B66"/>
  <c r="C65"/>
  <c r="B64"/>
  <c r="C63"/>
  <c r="B62"/>
  <c r="C61"/>
  <c r="B60"/>
  <c r="C59"/>
  <c r="B58"/>
  <c r="C57"/>
  <c r="B56"/>
  <c r="C55"/>
  <c r="B54"/>
  <c r="C53"/>
  <c r="B52"/>
  <c r="C51"/>
  <c r="B50"/>
  <c r="C49"/>
  <c r="B48"/>
  <c r="C47"/>
  <c r="B46"/>
  <c r="C45"/>
  <c r="B44"/>
  <c r="C43"/>
  <c r="D42"/>
  <c r="B42"/>
  <c r="C41"/>
  <c r="D40"/>
  <c r="B40"/>
  <c r="C39"/>
  <c r="D38"/>
  <c r="B38"/>
  <c r="C37"/>
  <c r="D36"/>
  <c r="B36"/>
  <c r="C35"/>
  <c r="D34"/>
  <c r="B34"/>
  <c r="C33"/>
  <c r="D32"/>
  <c r="B32"/>
  <c r="C31"/>
  <c r="D30"/>
  <c r="B30"/>
  <c r="C29"/>
  <c r="D28"/>
  <c r="B28"/>
  <c r="C27"/>
  <c r="D26"/>
  <c r="B26"/>
  <c r="C25"/>
  <c r="D24"/>
  <c r="B24"/>
  <c r="C23"/>
  <c r="D22"/>
  <c r="B22"/>
  <c r="C21"/>
  <c r="D20"/>
  <c r="B20"/>
  <c r="C19"/>
  <c r="D18"/>
  <c r="B18"/>
  <c r="C17"/>
  <c r="D16"/>
  <c r="B16"/>
  <c r="C15"/>
  <c r="J42" i="22"/>
  <c r="K42"/>
  <c r="N42"/>
  <c r="J43"/>
  <c r="K43"/>
  <c r="N43"/>
  <c r="J41"/>
  <c r="K41"/>
  <c r="N41"/>
  <c r="J40"/>
  <c r="K40"/>
  <c r="N40"/>
  <c r="N45" s="1"/>
  <c r="I14" i="25"/>
  <c r="K45" i="22"/>
  <c r="J45"/>
  <c r="Q36"/>
  <c r="P36"/>
  <c r="O36"/>
  <c r="N36"/>
  <c r="M36"/>
  <c r="L36"/>
  <c r="K36"/>
  <c r="J36"/>
  <c r="I36"/>
  <c r="H36"/>
  <c r="G36"/>
  <c r="F36"/>
  <c r="E36"/>
  <c r="D36"/>
  <c r="H16" i="25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H11"/>
  <c r="I26" i="22"/>
  <c r="C44"/>
  <c r="C35"/>
  <c r="H26"/>
  <c r="J26"/>
  <c r="H44" s="1"/>
  <c r="C34"/>
  <c r="H25"/>
  <c r="C43"/>
  <c r="I25"/>
  <c r="J25" s="1"/>
  <c r="C40"/>
  <c r="H22"/>
  <c r="I22"/>
  <c r="J22" s="1"/>
  <c r="C31"/>
  <c r="I23"/>
  <c r="H23"/>
  <c r="C41"/>
  <c r="C32"/>
  <c r="H24"/>
  <c r="C42"/>
  <c r="I24"/>
  <c r="J24" s="1"/>
  <c r="C33"/>
  <c r="P44"/>
  <c r="I42"/>
  <c r="L42"/>
  <c r="I43"/>
  <c r="L43"/>
  <c r="I44"/>
  <c r="O44"/>
  <c r="L44"/>
  <c r="G44"/>
  <c r="D44"/>
  <c r="J23"/>
  <c r="H41" s="1"/>
  <c r="I41"/>
  <c r="L41"/>
  <c r="L40"/>
  <c r="I40"/>
  <c r="I45"/>
  <c r="L45"/>
  <c r="I15" i="25"/>
  <c r="I94" s="1"/>
  <c r="I95" s="1"/>
  <c r="J14"/>
  <c r="H11" i="13"/>
  <c r="D20" i="24"/>
  <c r="R36" i="22"/>
  <c r="Q12" i="24"/>
  <c r="Q10"/>
  <c r="D41" i="22"/>
  <c r="F41"/>
  <c r="M41"/>
  <c r="O41"/>
  <c r="P41"/>
  <c r="G41" l="1"/>
  <c r="E13" i="24"/>
  <c r="P13"/>
  <c r="Q13"/>
  <c r="N13"/>
  <c r="L13"/>
  <c r="J13"/>
  <c r="H13"/>
  <c r="R44" i="22"/>
  <c r="R42"/>
  <c r="P42"/>
  <c r="F42"/>
  <c r="H42"/>
  <c r="E42"/>
  <c r="M42"/>
  <c r="Q42"/>
  <c r="G42"/>
  <c r="O42"/>
  <c r="D42"/>
  <c r="M40"/>
  <c r="Q40"/>
  <c r="O40"/>
  <c r="G40"/>
  <c r="J27"/>
  <c r="R43"/>
  <c r="R40"/>
  <c r="H40"/>
  <c r="E40"/>
  <c r="D40"/>
  <c r="F40"/>
  <c r="P40"/>
  <c r="R41"/>
  <c r="O43"/>
  <c r="E43"/>
  <c r="M43"/>
  <c r="F43"/>
  <c r="Q43"/>
  <c r="P43"/>
  <c r="H43"/>
  <c r="G43"/>
  <c r="D43"/>
  <c r="M20" i="24"/>
  <c r="M13"/>
  <c r="O13"/>
  <c r="K13"/>
  <c r="I13"/>
  <c r="E41" i="22"/>
  <c r="Q41"/>
  <c r="E44"/>
  <c r="M44"/>
  <c r="Q44"/>
  <c r="F44"/>
  <c r="J15" i="25"/>
  <c r="H94"/>
  <c r="H95" s="1"/>
  <c r="J94"/>
  <c r="J95" s="1"/>
  <c r="G13" i="24"/>
  <c r="D13"/>
  <c r="F13"/>
  <c r="D45" i="22"/>
  <c r="C13" i="24"/>
  <c r="H17" i="13"/>
  <c r="I17" s="1"/>
  <c r="H21"/>
  <c r="I21" s="1"/>
  <c r="H25"/>
  <c r="I25" s="1"/>
  <c r="H15"/>
  <c r="J15" s="1"/>
  <c r="H24"/>
  <c r="K24" s="1"/>
  <c r="H16"/>
  <c r="J16" s="1"/>
  <c r="H18"/>
  <c r="I18" s="1"/>
  <c r="H20"/>
  <c r="I20" s="1"/>
  <c r="G30"/>
  <c r="H30"/>
  <c r="J30" s="1"/>
  <c r="G19"/>
  <c r="H19"/>
  <c r="J19" s="1"/>
  <c r="G31"/>
  <c r="H31"/>
  <c r="J31" s="1"/>
  <c r="G28"/>
  <c r="H28"/>
  <c r="K28" s="1"/>
  <c r="G26"/>
  <c r="H26"/>
  <c r="J26" s="1"/>
  <c r="G29"/>
  <c r="H29"/>
  <c r="I29" s="1"/>
  <c r="G22"/>
  <c r="H22"/>
  <c r="K22" s="1"/>
  <c r="G27"/>
  <c r="H27"/>
  <c r="K27" s="1"/>
  <c r="G23"/>
  <c r="H23"/>
  <c r="J23" s="1"/>
  <c r="G17"/>
  <c r="G21"/>
  <c r="G25"/>
  <c r="G15"/>
  <c r="G24"/>
  <c r="G16"/>
  <c r="G18"/>
  <c r="G20"/>
  <c r="G14"/>
  <c r="H14"/>
  <c r="K14" s="1"/>
  <c r="I14"/>
  <c r="H96" i="25" l="1"/>
  <c r="J14" i="13"/>
  <c r="P45" i="22"/>
  <c r="H45"/>
  <c r="G45"/>
  <c r="Q45"/>
  <c r="F45"/>
  <c r="E45"/>
  <c r="R45"/>
  <c r="O45"/>
  <c r="M45"/>
  <c r="K20" i="13"/>
  <c r="J18"/>
  <c r="I16"/>
  <c r="I24"/>
  <c r="K15"/>
  <c r="K25"/>
  <c r="J21"/>
  <c r="K17"/>
  <c r="K23"/>
  <c r="I23"/>
  <c r="J27"/>
  <c r="J22"/>
  <c r="J29"/>
  <c r="I26"/>
  <c r="K26"/>
  <c r="I28"/>
  <c r="J28"/>
  <c r="I31"/>
  <c r="K19"/>
  <c r="I19"/>
  <c r="K30"/>
  <c r="J20"/>
  <c r="K18"/>
  <c r="K16"/>
  <c r="J24"/>
  <c r="I15"/>
  <c r="J25"/>
  <c r="K21"/>
  <c r="J17"/>
  <c r="J94" s="1"/>
  <c r="J95" s="1"/>
  <c r="I27"/>
  <c r="I22"/>
  <c r="K29"/>
  <c r="K31"/>
  <c r="I30"/>
  <c r="I94" l="1"/>
  <c r="I95" s="1"/>
  <c r="K94"/>
  <c r="K95" s="1"/>
  <c r="I96" l="1"/>
  <c r="G13" i="26" s="1"/>
  <c r="G14" s="1"/>
  <c r="C22" s="1"/>
  <c r="D13" l="1"/>
  <c r="D14" s="1"/>
  <c r="C19" s="1"/>
  <c r="C13"/>
  <c r="C14" s="1"/>
  <c r="C18" s="1"/>
  <c r="F13"/>
  <c r="F14" s="1"/>
  <c r="C21" s="1"/>
  <c r="E13"/>
  <c r="E14" s="1"/>
  <c r="C20" s="1"/>
  <c r="E20" s="1"/>
  <c r="E36" s="1"/>
  <c r="E33"/>
  <c r="G33"/>
  <c r="E22"/>
  <c r="G36" s="1"/>
  <c r="D22"/>
  <c r="C23"/>
  <c r="E18"/>
  <c r="C33"/>
  <c r="D18"/>
  <c r="D33"/>
  <c r="F19"/>
  <c r="F20" s="1"/>
  <c r="F21" s="1"/>
  <c r="F22" s="1"/>
  <c r="E19"/>
  <c r="D36" s="1"/>
  <c r="D19"/>
  <c r="D21"/>
  <c r="F33"/>
  <c r="E21"/>
  <c r="F36" s="1"/>
  <c r="D20" l="1"/>
  <c r="R29" i="24"/>
  <c r="R27"/>
  <c r="D34" i="26"/>
  <c r="F34"/>
  <c r="G34"/>
  <c r="G35" s="1"/>
  <c r="R21" i="24" s="1"/>
  <c r="C34" i="26"/>
  <c r="E34"/>
  <c r="R30" i="24"/>
  <c r="E35" i="26"/>
  <c r="R19" i="24" s="1"/>
  <c r="E23" i="26"/>
  <c r="C36"/>
  <c r="R28" i="24"/>
  <c r="F23" i="26"/>
  <c r="D46" s="1"/>
  <c r="D23"/>
  <c r="E47" l="1"/>
  <c r="E48"/>
  <c r="E46"/>
  <c r="C56"/>
  <c r="R26" i="24"/>
  <c r="L19"/>
  <c r="H19"/>
  <c r="P19"/>
  <c r="J19"/>
  <c r="O19"/>
  <c r="F19"/>
  <c r="G19"/>
  <c r="I19"/>
  <c r="E19"/>
  <c r="M19"/>
  <c r="K19"/>
  <c r="D19"/>
  <c r="C19"/>
  <c r="N19"/>
  <c r="I30"/>
  <c r="N30"/>
  <c r="P30"/>
  <c r="H30"/>
  <c r="O30"/>
  <c r="G30"/>
  <c r="J30"/>
  <c r="M30"/>
  <c r="L30"/>
  <c r="K30"/>
  <c r="E30"/>
  <c r="F30"/>
  <c r="D30"/>
  <c r="C30"/>
  <c r="I29"/>
  <c r="K29"/>
  <c r="L29"/>
  <c r="F29"/>
  <c r="H29"/>
  <c r="O29"/>
  <c r="M29"/>
  <c r="G29"/>
  <c r="E29"/>
  <c r="D29"/>
  <c r="J29"/>
  <c r="P29"/>
  <c r="N29"/>
  <c r="C29"/>
  <c r="E56" i="26"/>
  <c r="G37"/>
  <c r="E37"/>
  <c r="C54"/>
  <c r="C35"/>
  <c r="R17" i="24" s="1"/>
  <c r="D54" i="26"/>
  <c r="C37"/>
  <c r="D56"/>
  <c r="F53"/>
  <c r="F35"/>
  <c r="R20" i="24" s="1"/>
  <c r="O28"/>
  <c r="K28"/>
  <c r="P28"/>
  <c r="I28"/>
  <c r="L28"/>
  <c r="H28"/>
  <c r="N28"/>
  <c r="C28"/>
  <c r="D28"/>
  <c r="J28"/>
  <c r="M28"/>
  <c r="E28"/>
  <c r="F28"/>
  <c r="G28"/>
  <c r="I21"/>
  <c r="C21"/>
  <c r="O21"/>
  <c r="G21"/>
  <c r="J21"/>
  <c r="F21"/>
  <c r="M21"/>
  <c r="K21"/>
  <c r="P21"/>
  <c r="L21"/>
  <c r="D21"/>
  <c r="H21"/>
  <c r="E21"/>
  <c r="N21"/>
  <c r="N27"/>
  <c r="H27"/>
  <c r="C27"/>
  <c r="K27"/>
  <c r="E27"/>
  <c r="G27"/>
  <c r="F27"/>
  <c r="M27"/>
  <c r="O27"/>
  <c r="P27"/>
  <c r="J27"/>
  <c r="L27"/>
  <c r="D27"/>
  <c r="I27"/>
  <c r="G53" i="26"/>
  <c r="E53"/>
  <c r="G56"/>
  <c r="E54"/>
  <c r="G54"/>
  <c r="C53"/>
  <c r="C55" s="1"/>
  <c r="C57" s="1"/>
  <c r="F54"/>
  <c r="F55" s="1"/>
  <c r="D35"/>
  <c r="R18" i="24" s="1"/>
  <c r="D53" i="26"/>
  <c r="D37"/>
  <c r="F56"/>
  <c r="F57" l="1"/>
  <c r="D55"/>
  <c r="D57" s="1"/>
  <c r="O20" i="24"/>
  <c r="E20"/>
  <c r="L20"/>
  <c r="G20"/>
  <c r="N20"/>
  <c r="P20"/>
  <c r="C20"/>
  <c r="F20"/>
  <c r="E55" i="26"/>
  <c r="E57" s="1"/>
  <c r="F37"/>
  <c r="M18" i="24"/>
  <c r="O18"/>
  <c r="G18"/>
  <c r="H18"/>
  <c r="F18"/>
  <c r="L18"/>
  <c r="P18"/>
  <c r="D18"/>
  <c r="K18"/>
  <c r="N18"/>
  <c r="J18"/>
  <c r="C18"/>
  <c r="I18"/>
  <c r="E18"/>
  <c r="O17"/>
  <c r="F17"/>
  <c r="F22" s="1"/>
  <c r="F35" s="1"/>
  <c r="Q20"/>
  <c r="G17"/>
  <c r="G22" s="1"/>
  <c r="G35" s="1"/>
  <c r="Q17"/>
  <c r="Q21"/>
  <c r="C17"/>
  <c r="K17"/>
  <c r="K22" s="1"/>
  <c r="K35" s="1"/>
  <c r="J17"/>
  <c r="J22" s="1"/>
  <c r="J35" s="1"/>
  <c r="M17"/>
  <c r="M22" s="1"/>
  <c r="M35" s="1"/>
  <c r="D17"/>
  <c r="H17"/>
  <c r="H22" s="1"/>
  <c r="H35" s="1"/>
  <c r="P17"/>
  <c r="Q19"/>
  <c r="E17"/>
  <c r="Q18"/>
  <c r="N17"/>
  <c r="L17"/>
  <c r="L22" s="1"/>
  <c r="L35" s="1"/>
  <c r="R22"/>
  <c r="I17"/>
  <c r="I22" s="1"/>
  <c r="I35" s="1"/>
  <c r="Q26"/>
  <c r="J26"/>
  <c r="M26"/>
  <c r="G26"/>
  <c r="N26"/>
  <c r="K26"/>
  <c r="P26"/>
  <c r="H26"/>
  <c r="F26"/>
  <c r="R31"/>
  <c r="D26"/>
  <c r="Q29"/>
  <c r="L26"/>
  <c r="E26"/>
  <c r="Q27"/>
  <c r="Q30"/>
  <c r="O26"/>
  <c r="C26"/>
  <c r="Q28"/>
  <c r="I26"/>
  <c r="G55" i="26"/>
  <c r="G57" s="1"/>
  <c r="N22" i="24" l="1"/>
  <c r="N35" s="1"/>
  <c r="E22"/>
  <c r="E35" s="1"/>
  <c r="P22"/>
  <c r="P35" s="1"/>
  <c r="D22"/>
  <c r="D35" s="1"/>
  <c r="C22"/>
  <c r="C35" s="1"/>
  <c r="O22"/>
  <c r="O35" s="1"/>
  <c r="G59" i="26"/>
  <c r="I37" i="24"/>
  <c r="I31"/>
  <c r="I36" s="1"/>
  <c r="H31"/>
  <c r="H36" s="1"/>
  <c r="H37"/>
  <c r="K37"/>
  <c r="K31"/>
  <c r="K36" s="1"/>
  <c r="G31"/>
  <c r="G36" s="1"/>
  <c r="G37" s="1"/>
  <c r="J31"/>
  <c r="J36" s="1"/>
  <c r="J37"/>
  <c r="C31"/>
  <c r="C36" s="1"/>
  <c r="C37" s="1"/>
  <c r="E31"/>
  <c r="E36" s="1"/>
  <c r="E37" s="1"/>
  <c r="O31"/>
  <c r="O36" s="1"/>
  <c r="O37" s="1"/>
  <c r="L31"/>
  <c r="L36" s="1"/>
  <c r="L37" s="1"/>
  <c r="D31"/>
  <c r="D36" s="1"/>
  <c r="D37" s="1"/>
  <c r="F31"/>
  <c r="F36" s="1"/>
  <c r="F37" s="1"/>
  <c r="P31"/>
  <c r="P36" s="1"/>
  <c r="P37" s="1"/>
  <c r="N31"/>
  <c r="N36" s="1"/>
  <c r="M31"/>
  <c r="M36" s="1"/>
  <c r="M37"/>
  <c r="Q31"/>
  <c r="Q36" s="1"/>
  <c r="Q22"/>
  <c r="Q35" s="1"/>
  <c r="N37" l="1"/>
  <c r="Q37"/>
</calcChain>
</file>

<file path=xl/sharedStrings.xml><?xml version="1.0" encoding="utf-8"?>
<sst xmlns="http://schemas.openxmlformats.org/spreadsheetml/2006/main" count="573" uniqueCount="187">
  <si>
    <t>Student Name</t>
  </si>
  <si>
    <t>S.No</t>
  </si>
  <si>
    <t>Roll No</t>
  </si>
  <si>
    <t>CO1</t>
  </si>
  <si>
    <t>CO2</t>
  </si>
  <si>
    <t>CO3</t>
  </si>
  <si>
    <t>Distribution of Marks</t>
  </si>
  <si>
    <t>CO4</t>
  </si>
  <si>
    <t>CO5</t>
  </si>
  <si>
    <t>&lt;40%</t>
  </si>
  <si>
    <t>&gt;=40% &amp; &lt;60%</t>
  </si>
  <si>
    <t>&gt;=60%</t>
  </si>
  <si>
    <t>P</t>
  </si>
  <si>
    <t>A</t>
  </si>
  <si>
    <t>Total Present Status</t>
  </si>
  <si>
    <t>SEC</t>
  </si>
  <si>
    <t xml:space="preserve">Out of </t>
  </si>
  <si>
    <t>Assessment Sheet for PU</t>
  </si>
  <si>
    <t>Total</t>
  </si>
  <si>
    <t>% Student</t>
  </si>
  <si>
    <t>% CO attained</t>
  </si>
  <si>
    <t>Out of</t>
  </si>
  <si>
    <t>UNIVERSITY ATTAINTMENT</t>
  </si>
  <si>
    <t>Assessment Sheet for UNIVERSITY</t>
  </si>
  <si>
    <t>Description</t>
  </si>
  <si>
    <t>Code</t>
  </si>
  <si>
    <t>Options</t>
  </si>
  <si>
    <t>Value</t>
  </si>
  <si>
    <t>Option 1</t>
  </si>
  <si>
    <t>Acquired Very Well with proficiency</t>
  </si>
  <si>
    <t>Option 2</t>
  </si>
  <si>
    <t xml:space="preserve"> Acquired enough to do my work</t>
  </si>
  <si>
    <t>Option 3</t>
  </si>
  <si>
    <t>Acquired Marginally</t>
  </si>
  <si>
    <t>Option 4</t>
  </si>
  <si>
    <t xml:space="preserve"> Did not acquire at all</t>
  </si>
  <si>
    <t>Students  feedback  Matrix</t>
  </si>
  <si>
    <t>Course Outcome</t>
  </si>
  <si>
    <t>Total students participated in feedback</t>
  </si>
  <si>
    <t>No of students in option1  (3)</t>
  </si>
  <si>
    <t>No. of students for option2 (2)</t>
  </si>
  <si>
    <t>No. of students in option3 (1)</t>
  </si>
  <si>
    <t>No. of students in option4 (0)</t>
  </si>
  <si>
    <t>Total Point</t>
  </si>
  <si>
    <t>Total point attained</t>
  </si>
  <si>
    <t>% Attained</t>
  </si>
  <si>
    <t>Average % Students who Attained Course Outcomes</t>
  </si>
  <si>
    <t>CO-PO Matrix</t>
  </si>
  <si>
    <t>S.No.</t>
  </si>
  <si>
    <t>CO/PO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</si>
  <si>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</si>
  <si>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</si>
  <si>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</si>
  <si>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</si>
  <si>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</si>
  <si>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</si>
  <si>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</si>
  <si>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</si>
  <si>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</si>
  <si>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</si>
  <si>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</si>
  <si>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</si>
  <si>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</si>
  <si>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</si>
  <si>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Average PO</t>
  </si>
  <si>
    <t>Indirect Attainment of CO</t>
  </si>
  <si>
    <t>Exam</t>
  </si>
  <si>
    <t>Direct Assessment</t>
  </si>
  <si>
    <t>Average</t>
  </si>
  <si>
    <t>S.N.</t>
  </si>
  <si>
    <t>TOTAL % STUDENT WHO ATTAINED OUTCOME  (Internal)</t>
  </si>
  <si>
    <t>TOTAL % STUDENT WHO ATTAINED OUTCOME  (University)</t>
  </si>
  <si>
    <t>TOTAL % STUDENT WHO ATTAINED OUTCOME  (Indirect -Survey)</t>
  </si>
  <si>
    <t>Goal</t>
  </si>
  <si>
    <t>Average % Students Attained Course Outcomes</t>
  </si>
  <si>
    <t>Weigtage of attainment level</t>
  </si>
  <si>
    <t xml:space="preserve">Direct Assessment </t>
  </si>
  <si>
    <t xml:space="preserve">Internal Assessment </t>
  </si>
  <si>
    <t>University Assessment</t>
  </si>
  <si>
    <t>Indirect Assessment</t>
  </si>
  <si>
    <t>% of students attained the outcome</t>
  </si>
  <si>
    <t>Assessment Types</t>
  </si>
  <si>
    <t>% of students attained CO1</t>
  </si>
  <si>
    <t>% of students attained CO2</t>
  </si>
  <si>
    <t>% of students attained CO3</t>
  </si>
  <si>
    <t>% of students attained CO4</t>
  </si>
  <si>
    <t>% of students attained CO5</t>
  </si>
  <si>
    <t>Internal Assessment (I)</t>
  </si>
  <si>
    <t>University Assessment (U)</t>
  </si>
  <si>
    <t>Direct Assessment (DI) DI=0.6*I + 0.4* U</t>
  </si>
  <si>
    <t>Indirect Assessment (ID)</t>
  </si>
  <si>
    <t>Total = 0.8*DI + 0.2*ID</t>
  </si>
  <si>
    <t>Attainment Level: Rationale</t>
  </si>
  <si>
    <t>EE</t>
  </si>
  <si>
    <t>Exceed Expectation</t>
  </si>
  <si>
    <t xml:space="preserve">Attainment &gt; 5% above the goal </t>
  </si>
  <si>
    <t>ME</t>
  </si>
  <si>
    <t>Meet Expectation</t>
  </si>
  <si>
    <t xml:space="preserve">5% below the goal&lt;=Attainment &lt; 5% above the goal </t>
  </si>
  <si>
    <t>BE</t>
  </si>
  <si>
    <t>Below Expectation</t>
  </si>
  <si>
    <t>Attainment &lt;5% below the goal</t>
  </si>
  <si>
    <t xml:space="preserve">Description </t>
  </si>
  <si>
    <t>Goal (%)</t>
  </si>
  <si>
    <t xml:space="preserve">Attainment obtained </t>
  </si>
  <si>
    <t>Attainment Level</t>
  </si>
  <si>
    <t xml:space="preserve">Attainment obtained &gt;  58% </t>
  </si>
  <si>
    <t>Attainment obtained between  52.%  to  58%</t>
  </si>
  <si>
    <t>Attainment obtained below 52%</t>
  </si>
  <si>
    <t>% of students attained the outcome w.r.t attainment level</t>
  </si>
  <si>
    <t>Indirect Survay Table</t>
  </si>
  <si>
    <t>STATUS</t>
  </si>
  <si>
    <t>Course
Outcomes</t>
  </si>
  <si>
    <t>Average CO</t>
  </si>
  <si>
    <t>Direct Assessment (Internal + University)</t>
  </si>
  <si>
    <t>% of students attained CO</t>
  </si>
  <si>
    <t xml:space="preserve">% of student Indirect  Attained </t>
  </si>
  <si>
    <t>PO Attainment</t>
  </si>
  <si>
    <t>Attainment</t>
  </si>
  <si>
    <t>Total=.8*D+0.2*I</t>
  </si>
  <si>
    <t>CO DESCRIPTION TABLE</t>
  </si>
  <si>
    <t>CO LIST</t>
  </si>
  <si>
    <t>DESCRIPTION</t>
  </si>
  <si>
    <t>Direct(D)</t>
  </si>
  <si>
    <t>Indirect(I)</t>
  </si>
  <si>
    <t>Common Data Input Sheet</t>
  </si>
  <si>
    <t>From University</t>
  </si>
  <si>
    <t>AL:1</t>
  </si>
  <si>
    <t>AL:2</t>
  </si>
  <si>
    <t>AL:3</t>
  </si>
  <si>
    <t>( Please Fill up 'NA' in STATUS COLUMN if any CO is NOT APPLICABLE)</t>
  </si>
  <si>
    <t>Total No. of Participants</t>
  </si>
  <si>
    <t xml:space="preserve">MAPPING OF COURSE OUTCOME WITH PROGRAM OUTCOMES/PROGRAM SPECIFIC OUTCOME </t>
  </si>
  <si>
    <t>CO1 Feedback</t>
  </si>
  <si>
    <t>CO2 Feedback</t>
  </si>
  <si>
    <t>CO3 Feedback</t>
  </si>
  <si>
    <t>CO4 feedback</t>
  </si>
  <si>
    <t>CO5 feedback</t>
  </si>
  <si>
    <t>Course Outcomes</t>
  </si>
  <si>
    <t>-</t>
  </si>
  <si>
    <t xml:space="preserve">No of students in option1  (3) </t>
  </si>
  <si>
    <t xml:space="preserve">No. of students for option2 (2) </t>
  </si>
  <si>
    <t xml:space="preserve">No. of students in option3 (1) </t>
  </si>
  <si>
    <t xml:space="preserve">No. of students in option4 (0) </t>
  </si>
  <si>
    <t>Total Students</t>
  </si>
  <si>
    <t>Internal</t>
  </si>
  <si>
    <t>CO</t>
  </si>
  <si>
    <t>CO attained</t>
  </si>
  <si>
    <t>Kanpur Institute of Technology, Kanpur</t>
  </si>
  <si>
    <t>Assessment Sheet for Feedback</t>
  </si>
  <si>
    <t>Assessment Sheet for Indirect Assesment</t>
  </si>
  <si>
    <t>Assessment Sheet for CO Attainment</t>
  </si>
  <si>
    <t>Assessment Sheet for PO Attainment</t>
  </si>
  <si>
    <t>Feedback</t>
  </si>
  <si>
    <t>VALUE</t>
  </si>
  <si>
    <t>marks</t>
  </si>
  <si>
    <t>To be filled by students</t>
  </si>
  <si>
    <t>Name &amp; Signature of the Student</t>
  </si>
  <si>
    <t>PSO3</t>
  </si>
  <si>
    <t>To understand method of Grinding &amp; Superfinishing for betterment of the manufacturing product.</t>
  </si>
  <si>
    <t>Subject Name:Materials Engineering</t>
  </si>
  <si>
    <t>Semester: III</t>
  </si>
  <si>
    <t>Student will be able to identify crystal structures for various materials and understand the defects in such structures</t>
  </si>
  <si>
    <t>Understand how to tailor material properties of ferrous and non-ferrous alloys.</t>
  </si>
  <si>
    <t>To learn various hardness test.</t>
  </si>
  <si>
    <t>Basic knowledge of NDT.</t>
  </si>
  <si>
    <t>Total No. of Students: 18</t>
  </si>
  <si>
    <t>Subject Code: BME-303</t>
  </si>
  <si>
    <t>Name of the Faculty: Dr. Prateek Gangwar</t>
  </si>
  <si>
    <t>AKASHSHARMA</t>
  </si>
  <si>
    <t>ABDULREHMAN</t>
  </si>
  <si>
    <t>ABHISHEKSINGH</t>
  </si>
  <si>
    <t>AMANKUMAR</t>
  </si>
  <si>
    <t>GULSHANKUMARKASHYAP</t>
  </si>
  <si>
    <t>HARSHITSHARMA</t>
  </si>
  <si>
    <t>PAWANKUMAR</t>
  </si>
  <si>
    <t>SHIVAMTIWARI</t>
  </si>
  <si>
    <t>TIWARI SHITESHSANTOSHKUMAR</t>
  </si>
  <si>
    <t>VIRATSHARMA</t>
  </si>
  <si>
    <t>ABHINAV TIWARI</t>
  </si>
  <si>
    <t>ABHISHEKKASHYAP</t>
  </si>
  <si>
    <t>AKARSHANRAI</t>
  </si>
  <si>
    <t>KHUSHBOOYADAV</t>
  </si>
  <si>
    <t>MOHDQAISQURAISHI</t>
  </si>
  <si>
    <t>PRABHATSHARMA</t>
  </si>
  <si>
    <t>RAMANKUMAR</t>
  </si>
  <si>
    <t>RIYANKPORWAL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</si>
</sst>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name val="Calibri"/>
    </font>
    <font>
      <sz val="11"/>
      <name val="Calibri"/>
      <family val="2"/>
    </font>
    <font>
      <b/>
      <sz val="11"/>
      <name val="Calibri"/>
      <family val="2"/>
    </font>
    <font>
      <b/>
      <sz val="10"/>
      <name val="Times New Roman"/>
      <family val="1"/>
    </font>
    <font>
      <b/>
      <sz val="14"/>
      <name val="Calibri"/>
      <family val="2"/>
    </font>
    <font>
      <sz val="10"/>
      <name val="Times New Roman"/>
      <family val="1"/>
    </font>
    <font>
      <sz val="12"/>
      <name val="Calibri"/>
      <family val="2"/>
    </font>
    <font>
      <sz val="14"/>
      <name val="Calibri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name val="Calibri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1"/>
      <color indexed="8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6" fillId="0" borderId="0"/>
    <xf numFmtId="0" fontId="16" fillId="0" borderId="0"/>
    <xf numFmtId="0" fontId="15" fillId="0" borderId="0"/>
  </cellStyleXfs>
  <cellXfs count="270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vertical="center"/>
    </xf>
    <xf numFmtId="0" fontId="9" fillId="2" borderId="1" xfId="0" applyFont="1" applyFill="1" applyBorder="1"/>
    <xf numFmtId="0" fontId="17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Protection="1"/>
    <xf numFmtId="0" fontId="0" fillId="0" borderId="0" xfId="0" applyFont="1" applyFill="1" applyBorder="1" applyAlignment="1" applyProtection="1">
      <alignment wrapText="1"/>
    </xf>
    <xf numFmtId="0" fontId="18" fillId="2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/>
    </xf>
    <xf numFmtId="1" fontId="0" fillId="0" borderId="1" xfId="0" applyNumberFormat="1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164" fontId="8" fillId="0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wrapText="1"/>
    </xf>
    <xf numFmtId="0" fontId="2" fillId="0" borderId="1" xfId="0" applyFont="1" applyFill="1" applyBorder="1" applyProtection="1"/>
    <xf numFmtId="0" fontId="5" fillId="0" borderId="1" xfId="0" applyFont="1" applyFill="1" applyBorder="1" applyAlignment="1" applyProtection="1">
      <alignment horizontal="left" vertical="center" wrapText="1"/>
    </xf>
    <xf numFmtId="0" fontId="17" fillId="2" borderId="1" xfId="0" applyFont="1" applyFill="1" applyBorder="1" applyAlignment="1" applyProtection="1">
      <alignment horizontal="center"/>
    </xf>
    <xf numFmtId="0" fontId="19" fillId="2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left"/>
    </xf>
    <xf numFmtId="0" fontId="0" fillId="0" borderId="0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 wrapText="1"/>
    </xf>
    <xf numFmtId="0" fontId="18" fillId="0" borderId="1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</xf>
    <xf numFmtId="0" fontId="18" fillId="0" borderId="3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2" fontId="9" fillId="0" borderId="1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/>
    </xf>
    <xf numFmtId="0" fontId="20" fillId="0" borderId="0" xfId="0" applyFont="1" applyFill="1"/>
    <xf numFmtId="0" fontId="3" fillId="0" borderId="4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9" fontId="20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/>
    <xf numFmtId="0" fontId="17" fillId="0" borderId="1" xfId="0" applyFont="1" applyFill="1" applyBorder="1" applyAlignment="1" applyProtection="1">
      <alignment horizontal="center"/>
    </xf>
    <xf numFmtId="0" fontId="19" fillId="0" borderId="0" xfId="0" applyFont="1" applyFill="1" applyProtection="1"/>
    <xf numFmtId="0" fontId="1" fillId="0" borderId="1" xfId="0" applyFont="1" applyFill="1" applyBorder="1" applyAlignment="1" applyProtection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 wrapText="1"/>
    </xf>
    <xf numFmtId="0" fontId="10" fillId="0" borderId="1" xfId="0" applyFont="1" applyFill="1" applyBorder="1" applyAlignment="1" applyProtection="1">
      <alignment horizontal="center"/>
    </xf>
    <xf numFmtId="2" fontId="10" fillId="0" borderId="1" xfId="0" applyNumberFormat="1" applyFont="1" applyFill="1" applyBorder="1" applyAlignment="1" applyProtection="1">
      <alignment horizontal="center"/>
    </xf>
    <xf numFmtId="0" fontId="19" fillId="0" borderId="0" xfId="0" applyFont="1" applyFill="1" applyBorder="1" applyProtection="1"/>
    <xf numFmtId="0" fontId="9" fillId="0" borderId="1" xfId="0" applyFont="1" applyFill="1" applyBorder="1" applyProtection="1"/>
    <xf numFmtId="0" fontId="20" fillId="0" borderId="1" xfId="0" applyFont="1" applyFill="1" applyBorder="1" applyAlignment="1" applyProtection="1">
      <alignment horizontal="center" vertical="top"/>
    </xf>
    <xf numFmtId="0" fontId="19" fillId="0" borderId="1" xfId="0" applyFont="1" applyFill="1" applyBorder="1" applyAlignment="1" applyProtection="1">
      <alignment horizontal="center" vertical="top"/>
    </xf>
    <xf numFmtId="0" fontId="17" fillId="0" borderId="1" xfId="0" applyFont="1" applyFill="1" applyBorder="1" applyAlignment="1" applyProtection="1">
      <alignment horizontal="center" vertical="top"/>
    </xf>
    <xf numFmtId="2" fontId="19" fillId="0" borderId="1" xfId="0" applyNumberFormat="1" applyFont="1" applyFill="1" applyBorder="1" applyAlignment="1" applyProtection="1">
      <alignment horizontal="center" vertical="top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2" fontId="20" fillId="0" borderId="1" xfId="0" applyNumberFormat="1" applyFont="1" applyFill="1" applyBorder="1" applyAlignment="1">
      <alignment horizontal="center" vertical="top"/>
    </xf>
    <xf numFmtId="2" fontId="13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2" fontId="12" fillId="0" borderId="2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0" fontId="20" fillId="3" borderId="1" xfId="0" applyFont="1" applyFill="1" applyBorder="1" applyAlignment="1" applyProtection="1">
      <alignment horizontal="center"/>
    </xf>
    <xf numFmtId="1" fontId="0" fillId="3" borderId="1" xfId="0" applyNumberFormat="1" applyFont="1" applyFill="1" applyBorder="1" applyProtection="1"/>
    <xf numFmtId="0" fontId="0" fillId="3" borderId="1" xfId="0" applyFont="1" applyFill="1" applyBorder="1" applyProtection="1"/>
    <xf numFmtId="1" fontId="0" fillId="3" borderId="1" xfId="0" applyNumberFormat="1" applyFont="1" applyFill="1" applyBorder="1" applyAlignment="1" applyProtection="1">
      <alignment horizontal="center"/>
    </xf>
    <xf numFmtId="0" fontId="0" fillId="3" borderId="1" xfId="0" applyFill="1" applyBorder="1" applyProtection="1"/>
    <xf numFmtId="0" fontId="3" fillId="3" borderId="1" xfId="0" applyFont="1" applyFill="1" applyBorder="1" applyAlignment="1" applyProtection="1">
      <alignment horizontal="center" vertical="center"/>
    </xf>
    <xf numFmtId="1" fontId="2" fillId="3" borderId="1" xfId="0" applyNumberFormat="1" applyFont="1" applyFill="1" applyBorder="1" applyProtection="1"/>
    <xf numFmtId="1" fontId="20" fillId="3" borderId="1" xfId="0" applyNumberFormat="1" applyFont="1" applyFill="1" applyBorder="1" applyAlignment="1" applyProtection="1">
      <alignment horizontal="center" vertical="center"/>
    </xf>
    <xf numFmtId="0" fontId="0" fillId="3" borderId="1" xfId="0" applyFont="1" applyFill="1" applyBorder="1" applyAlignment="1" applyProtection="1">
      <alignment horizontal="center" vertical="center"/>
    </xf>
    <xf numFmtId="1" fontId="0" fillId="3" borderId="1" xfId="0" applyNumberFormat="1" applyFont="1" applyFill="1" applyBorder="1" applyAlignment="1" applyProtection="1">
      <alignment horizontal="center" vertical="center"/>
    </xf>
    <xf numFmtId="0" fontId="20" fillId="3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/>
    </xf>
    <xf numFmtId="0" fontId="10" fillId="3" borderId="1" xfId="0" applyFont="1" applyFill="1" applyBorder="1" applyAlignment="1" applyProtection="1">
      <alignment horizontal="center"/>
    </xf>
    <xf numFmtId="0" fontId="19" fillId="2" borderId="1" xfId="0" applyFont="1" applyFill="1" applyBorder="1" applyAlignment="1" applyProtection="1">
      <alignment horizontal="center"/>
    </xf>
    <xf numFmtId="0" fontId="17" fillId="2" borderId="1" xfId="0" applyFont="1" applyFill="1" applyBorder="1" applyAlignment="1" applyProtection="1">
      <alignment horizontal="center"/>
    </xf>
    <xf numFmtId="0" fontId="0" fillId="3" borderId="1" xfId="0" applyFill="1" applyBorder="1" applyAlignment="1" applyProtection="1"/>
    <xf numFmtId="0" fontId="9" fillId="2" borderId="2" xfId="0" applyFont="1" applyFill="1" applyBorder="1"/>
    <xf numFmtId="0" fontId="1" fillId="3" borderId="1" xfId="0" applyFont="1" applyFill="1" applyBorder="1" applyAlignment="1">
      <alignment horizontal="center"/>
    </xf>
    <xf numFmtId="0" fontId="22" fillId="3" borderId="1" xfId="0" applyFont="1" applyFill="1" applyBorder="1" applyAlignment="1">
      <alignment horizontal="center" vertical="top" wrapText="1"/>
    </xf>
    <xf numFmtId="0" fontId="0" fillId="3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 applyProtection="1">
      <alignment horizontal="center" vertical="center" wrapText="1"/>
    </xf>
    <xf numFmtId="1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" fontId="20" fillId="0" borderId="1" xfId="0" applyNumberFormat="1" applyFont="1" applyFill="1" applyBorder="1" applyAlignment="1" applyProtection="1">
      <alignment horizontal="center" vertical="center"/>
    </xf>
    <xf numFmtId="0" fontId="23" fillId="0" borderId="16" xfId="0" applyFont="1" applyBorder="1" applyAlignment="1"/>
    <xf numFmtId="0" fontId="23" fillId="4" borderId="1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6" xfId="0" applyFont="1" applyFill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/>
      <protection locked="0"/>
    </xf>
    <xf numFmtId="0" fontId="17" fillId="2" borderId="1" xfId="0" applyFont="1" applyFill="1" applyBorder="1" applyAlignment="1">
      <alignment horizontal="center"/>
    </xf>
    <xf numFmtId="0" fontId="6" fillId="2" borderId="6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6" fillId="3" borderId="4" xfId="0" applyFont="1" applyFill="1" applyBorder="1" applyAlignment="1" applyProtection="1">
      <alignment horizontal="left" vertical="center" wrapText="1"/>
      <protection locked="0"/>
    </xf>
    <xf numFmtId="0" fontId="6" fillId="3" borderId="6" xfId="0" applyFont="1" applyFill="1" applyBorder="1" applyAlignment="1" applyProtection="1">
      <alignment horizontal="left" vertical="center" wrapText="1"/>
      <protection locked="0"/>
    </xf>
    <xf numFmtId="0" fontId="6" fillId="3" borderId="7" xfId="0" applyFont="1" applyFill="1" applyBorder="1" applyAlignment="1" applyProtection="1">
      <alignment horizontal="left" vertical="center" wrapText="1"/>
      <protection locked="0"/>
    </xf>
    <xf numFmtId="0" fontId="6" fillId="3" borderId="4" xfId="0" applyFont="1" applyFill="1" applyBorder="1" applyAlignment="1" applyProtection="1">
      <alignment horizontal="left" vertical="center"/>
      <protection locked="0"/>
    </xf>
    <xf numFmtId="0" fontId="6" fillId="3" borderId="6" xfId="0" applyFont="1" applyFill="1" applyBorder="1" applyAlignment="1" applyProtection="1">
      <alignment horizontal="left" vertical="center"/>
      <protection locked="0"/>
    </xf>
    <xf numFmtId="0" fontId="6" fillId="3" borderId="7" xfId="0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>
      <alignment horizontal="center"/>
    </xf>
    <xf numFmtId="0" fontId="4" fillId="3" borderId="4" xfId="0" applyFont="1" applyFill="1" applyBorder="1" applyAlignment="1" applyProtection="1">
      <alignment horizontal="center"/>
      <protection locked="0"/>
    </xf>
    <xf numFmtId="0" fontId="4" fillId="3" borderId="6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 wrapText="1"/>
      <protection locked="0"/>
    </xf>
    <xf numFmtId="0" fontId="4" fillId="3" borderId="6" xfId="0" applyFont="1" applyFill="1" applyBorder="1" applyAlignment="1" applyProtection="1">
      <alignment horizontal="center" wrapText="1"/>
      <protection locked="0"/>
    </xf>
    <xf numFmtId="0" fontId="4" fillId="3" borderId="7" xfId="0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>
      <alignment horizont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/>
    </xf>
    <xf numFmtId="0" fontId="2" fillId="0" borderId="6" xfId="0" applyFont="1" applyFill="1" applyBorder="1" applyAlignment="1" applyProtection="1">
      <alignment horizontal="center"/>
    </xf>
    <xf numFmtId="0" fontId="2" fillId="0" borderId="7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18" fillId="0" borderId="5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 applyProtection="1">
      <alignment horizontal="center" vertical="center"/>
    </xf>
    <xf numFmtId="0" fontId="18" fillId="0" borderId="13" xfId="0" applyFont="1" applyFill="1" applyBorder="1" applyAlignment="1" applyProtection="1">
      <alignment horizontal="center" vertical="center"/>
    </xf>
    <xf numFmtId="0" fontId="18" fillId="0" borderId="14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>
      <alignment horizontal="center" vertical="center"/>
    </xf>
    <xf numFmtId="0" fontId="18" fillId="0" borderId="15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/>
    </xf>
    <xf numFmtId="0" fontId="4" fillId="0" borderId="6" xfId="0" applyFont="1" applyFill="1" applyBorder="1" applyAlignment="1" applyProtection="1">
      <alignment horizontal="center"/>
    </xf>
    <xf numFmtId="0" fontId="4" fillId="0" borderId="7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wrapText="1"/>
    </xf>
    <xf numFmtId="0" fontId="4" fillId="0" borderId="6" xfId="0" applyFont="1" applyFill="1" applyBorder="1" applyAlignment="1" applyProtection="1">
      <alignment horizontal="center" wrapText="1"/>
    </xf>
    <xf numFmtId="0" fontId="4" fillId="0" borderId="7" xfId="0" applyFont="1" applyFill="1" applyBorder="1" applyAlignment="1" applyProtection="1">
      <alignment horizont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/>
    </xf>
    <xf numFmtId="0" fontId="18" fillId="0" borderId="3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center"/>
    </xf>
    <xf numFmtId="2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0" fillId="0" borderId="1" xfId="0" applyFont="1" applyFill="1" applyBorder="1" applyAlignment="1" applyProtection="1">
      <alignment horizontal="center"/>
    </xf>
    <xf numFmtId="0" fontId="17" fillId="0" borderId="4" xfId="0" applyFont="1" applyFill="1" applyBorder="1" applyAlignment="1" applyProtection="1">
      <alignment horizontal="center" vertical="top"/>
    </xf>
    <xf numFmtId="0" fontId="17" fillId="0" borderId="6" xfId="0" applyFont="1" applyFill="1" applyBorder="1" applyAlignment="1" applyProtection="1">
      <alignment horizontal="center" vertical="top"/>
    </xf>
    <xf numFmtId="0" fontId="17" fillId="0" borderId="7" xfId="0" applyFont="1" applyFill="1" applyBorder="1" applyAlignment="1" applyProtection="1">
      <alignment horizontal="center" vertical="top"/>
    </xf>
    <xf numFmtId="0" fontId="6" fillId="0" borderId="1" xfId="0" applyFont="1" applyFill="1" applyBorder="1" applyAlignment="1" applyProtection="1">
      <alignment horizontal="center" vertical="center" wrapText="1"/>
    </xf>
    <xf numFmtId="0" fontId="17" fillId="0" borderId="14" xfId="0" applyFont="1" applyFill="1" applyBorder="1" applyAlignment="1" applyProtection="1">
      <alignment horizontal="center"/>
    </xf>
    <xf numFmtId="0" fontId="17" fillId="0" borderId="0" xfId="0" applyFont="1" applyFill="1" applyBorder="1" applyAlignment="1" applyProtection="1">
      <alignment horizontal="center"/>
    </xf>
    <xf numFmtId="0" fontId="17" fillId="0" borderId="14" xfId="0" applyFont="1" applyFill="1" applyBorder="1" applyAlignment="1" applyProtection="1">
      <alignment horizontal="center" vertical="top"/>
    </xf>
    <xf numFmtId="0" fontId="17" fillId="0" borderId="0" xfId="0" applyFont="1" applyFill="1" applyBorder="1" applyAlignment="1" applyProtection="1">
      <alignment horizontal="center" vertical="top"/>
    </xf>
    <xf numFmtId="0" fontId="17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/>
    </xf>
    <xf numFmtId="0" fontId="19" fillId="0" borderId="1" xfId="0" applyFont="1" applyFill="1" applyBorder="1" applyAlignment="1" applyProtection="1">
      <alignment horizontal="center"/>
    </xf>
    <xf numFmtId="0" fontId="17" fillId="0" borderId="4" xfId="0" applyFont="1" applyFill="1" applyBorder="1" applyAlignment="1" applyProtection="1">
      <alignment horizontal="center" vertical="center"/>
    </xf>
    <xf numFmtId="0" fontId="17" fillId="0" borderId="6" xfId="0" applyFont="1" applyFill="1" applyBorder="1" applyAlignment="1" applyProtection="1">
      <alignment horizontal="center" vertical="center"/>
    </xf>
    <xf numFmtId="0" fontId="17" fillId="0" borderId="7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Alignment="1" applyProtection="1">
      <alignment horizontal="center"/>
    </xf>
    <xf numFmtId="2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wrapText="1"/>
    </xf>
    <xf numFmtId="0" fontId="4" fillId="0" borderId="12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center" vertical="center" wrapText="1"/>
    </xf>
    <xf numFmtId="2" fontId="12" fillId="0" borderId="7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0" fillId="2" borderId="1" xfId="0" applyFont="1" applyFill="1" applyBorder="1" applyAlignment="1" applyProtection="1">
      <alignment horizontal="center"/>
    </xf>
    <xf numFmtId="0" fontId="19" fillId="2" borderId="1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0" fillId="0" borderId="1" xfId="0" applyFont="1" applyFill="1" applyBorder="1" applyAlignment="1" applyProtection="1">
      <alignment horizontal="left"/>
    </xf>
    <xf numFmtId="0" fontId="11" fillId="2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/>
    </xf>
    <xf numFmtId="1" fontId="0" fillId="0" borderId="3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0" borderId="17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wrapText="1"/>
    </xf>
  </cellXfs>
  <cellStyles count="4">
    <cellStyle name="Normal" xfId="0" builtinId="0"/>
    <cellStyle name="Normal 2" xfId="1"/>
    <cellStyle name="Normal 2 2" xfId="2"/>
    <cellStyle name="Normal 3" xfId="3"/>
  </cellStyles>
  <dxfs count="19">
    <dxf>
      <fill>
        <patternFill patternType="darkGray">
          <fgColor theme="1" tint="0.499984740745262"/>
        </patternFill>
      </fill>
    </dxf>
    <dxf>
      <fill>
        <patternFill patternType="darkGray">
          <fgColor theme="1" tint="0.499984740745262"/>
        </patternFill>
      </fill>
    </dxf>
    <dxf>
      <fill>
        <patternFill patternType="darkGray">
          <fgColor theme="1" tint="0.49998474074526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 patternType="solid">
          <fgColor indexed="64"/>
          <bgColor rgb="FF00B0F0"/>
        </patternFill>
      </fill>
    </dxf>
    <dxf>
      <fill>
        <patternFill>
          <bgColor rgb="FF00B0F0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ASHU\ProjectCollege\images\check_big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ASHU\ProjectCollege\images\check_big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49" name="Picture 11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0" name="Picture 12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1" name="Picture 13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9525</xdr:rowOff>
    </xdr:to>
    <xdr:pic>
      <xdr:nvPicPr>
        <xdr:cNvPr id="2252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3" name="Picture 15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9525</xdr:rowOff>
    </xdr:to>
    <xdr:pic>
      <xdr:nvPicPr>
        <xdr:cNvPr id="2254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19050</xdr:rowOff>
    </xdr:to>
    <xdr:pic>
      <xdr:nvPicPr>
        <xdr:cNvPr id="2255" name="Picture 17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0</xdr:rowOff>
    </xdr:to>
    <xdr:pic>
      <xdr:nvPicPr>
        <xdr:cNvPr id="2256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0</xdr:rowOff>
    </xdr:to>
    <xdr:pic>
      <xdr:nvPicPr>
        <xdr:cNvPr id="2257" name="Picture 19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190500</xdr:colOff>
      <xdr:row>93</xdr:row>
      <xdr:rowOff>0</xdr:rowOff>
    </xdr:to>
    <xdr:pic>
      <xdr:nvPicPr>
        <xdr:cNvPr id="2258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193262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5" name="Picture 1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6" name="Picture 2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7" name="Picture 3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9525</xdr:rowOff>
    </xdr:to>
    <xdr:pic>
      <xdr:nvPicPr>
        <xdr:cNvPr id="1228" name="Picture 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29" name="Picture 5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9525</xdr:rowOff>
    </xdr:to>
    <xdr:pic>
      <xdr:nvPicPr>
        <xdr:cNvPr id="1230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19050</xdr:rowOff>
    </xdr:to>
    <xdr:pic>
      <xdr:nvPicPr>
        <xdr:cNvPr id="1231" name="Picture 7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0</xdr:rowOff>
    </xdr:to>
    <xdr:pic>
      <xdr:nvPicPr>
        <xdr:cNvPr id="1232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0</xdr:rowOff>
    </xdr:to>
    <xdr:pic>
      <xdr:nvPicPr>
        <xdr:cNvPr id="1233" name="Picture 9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190500</xdr:colOff>
      <xdr:row>12</xdr:row>
      <xdr:rowOff>0</xdr:rowOff>
    </xdr:to>
    <xdr:pic>
      <xdr:nvPicPr>
        <xdr:cNvPr id="1234" name="Picture 14" descr="C:\Users\ASHU\ProjectCollege\images\check_big.gif"/>
        <xdr:cNvPicPr>
          <a:picLocks noChangeAspect="1" noChangeArrowheads="1"/>
        </xdr:cNvPicPr>
      </xdr:nvPicPr>
      <xdr:blipFill>
        <a:blip xmlns:r="http://schemas.openxmlformats.org/officeDocument/2006/relationships" r:link="rId1"/>
        <a:srcRect/>
        <a:stretch>
          <a:fillRect/>
        </a:stretch>
      </xdr:blipFill>
      <xdr:spPr bwMode="auto">
        <a:xfrm>
          <a:off x="762000" y="4162425"/>
          <a:ext cx="190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23"/>
  <sheetViews>
    <sheetView topLeftCell="A7" workbookViewId="0">
      <selection activeCell="D8" sqref="D8:Q8"/>
    </sheetView>
  </sheetViews>
  <sheetFormatPr defaultRowHeight="15"/>
  <sheetData>
    <row r="1" spans="1:29" ht="18.75">
      <c r="A1" s="132" t="s">
        <v>148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</row>
    <row r="2" spans="1:29" ht="18.75">
      <c r="A2" s="132" t="s">
        <v>125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</row>
    <row r="3" spans="1:29" s="3" customFormat="1" ht="36" customHeight="1">
      <c r="A3" s="137" t="s">
        <v>161</v>
      </c>
      <c r="B3" s="138"/>
      <c r="C3" s="138"/>
      <c r="D3" s="139"/>
      <c r="E3" s="137" t="s">
        <v>168</v>
      </c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9"/>
    </row>
    <row r="4" spans="1:29" ht="37.5" customHeight="1">
      <c r="A4" s="136" t="s">
        <v>167</v>
      </c>
      <c r="B4" s="136"/>
      <c r="C4" s="136"/>
      <c r="D4" s="136"/>
      <c r="E4" s="136"/>
      <c r="F4" s="140" t="s">
        <v>166</v>
      </c>
      <c r="G4" s="140"/>
      <c r="H4" s="140"/>
      <c r="I4" s="140"/>
      <c r="J4" s="140"/>
      <c r="K4" s="133" t="s">
        <v>160</v>
      </c>
      <c r="L4" s="134"/>
      <c r="M4" s="134"/>
      <c r="N4" s="134"/>
      <c r="O4" s="134"/>
      <c r="P4" s="134"/>
      <c r="Q4" s="135"/>
    </row>
    <row r="5" spans="1:29" ht="18.7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7" spans="1:29">
      <c r="A7" s="118" t="s">
        <v>120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</row>
    <row r="8" spans="1:29">
      <c r="A8" s="118" t="s">
        <v>121</v>
      </c>
      <c r="B8" s="118"/>
      <c r="C8" s="118"/>
      <c r="D8" s="118" t="s">
        <v>122</v>
      </c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</row>
    <row r="9" spans="1:29" ht="30" customHeight="1">
      <c r="A9" s="119" t="s">
        <v>3</v>
      </c>
      <c r="B9" s="119"/>
      <c r="C9" s="120"/>
      <c r="D9" s="126" t="s">
        <v>162</v>
      </c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8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 ht="30" customHeight="1">
      <c r="A10" s="119" t="s">
        <v>4</v>
      </c>
      <c r="B10" s="119"/>
      <c r="C10" s="120"/>
      <c r="D10" s="126" t="s">
        <v>163</v>
      </c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ht="30" customHeight="1">
      <c r="A11" s="122" t="s">
        <v>5</v>
      </c>
      <c r="B11" s="122"/>
      <c r="C11" s="123"/>
      <c r="D11" s="126" t="s">
        <v>159</v>
      </c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 spans="1:29" ht="30" customHeight="1">
      <c r="A12" s="119" t="s">
        <v>7</v>
      </c>
      <c r="B12" s="119"/>
      <c r="C12" s="120"/>
      <c r="D12" s="126" t="s">
        <v>164</v>
      </c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8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30" customHeight="1">
      <c r="A13" s="119" t="s">
        <v>8</v>
      </c>
      <c r="B13" s="119"/>
      <c r="C13" s="120"/>
      <c r="D13" s="129" t="s">
        <v>165</v>
      </c>
      <c r="E13" s="130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1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6" spans="1:29">
      <c r="A16" s="121" t="s">
        <v>47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</row>
    <row r="17" spans="1:18">
      <c r="A17" s="15" t="s">
        <v>48</v>
      </c>
      <c r="B17" s="15" t="s">
        <v>49</v>
      </c>
      <c r="C17" s="106" t="s">
        <v>111</v>
      </c>
      <c r="D17" s="15" t="s">
        <v>50</v>
      </c>
      <c r="E17" s="15" t="s">
        <v>51</v>
      </c>
      <c r="F17" s="15" t="s">
        <v>52</v>
      </c>
      <c r="G17" s="15" t="s">
        <v>53</v>
      </c>
      <c r="H17" s="15" t="s">
        <v>54</v>
      </c>
      <c r="I17" s="15" t="s">
        <v>55</v>
      </c>
      <c r="J17" s="15" t="s">
        <v>56</v>
      </c>
      <c r="K17" s="15" t="s">
        <v>57</v>
      </c>
      <c r="L17" s="15" t="s">
        <v>58</v>
      </c>
      <c r="M17" s="15" t="s">
        <v>59</v>
      </c>
      <c r="N17" s="15" t="s">
        <v>60</v>
      </c>
      <c r="O17" s="15" t="s">
        <v>61</v>
      </c>
      <c r="P17" s="15" t="s">
        <v>62</v>
      </c>
      <c r="Q17" s="15" t="s">
        <v>63</v>
      </c>
      <c r="R17" s="15" t="s">
        <v>158</v>
      </c>
    </row>
    <row r="18" spans="1:18" ht="15.75">
      <c r="A18" s="14">
        <v>1</v>
      </c>
      <c r="B18" s="13" t="s">
        <v>3</v>
      </c>
      <c r="C18" s="107" t="s">
        <v>13</v>
      </c>
      <c r="D18" s="88">
        <v>3</v>
      </c>
      <c r="E18" s="88">
        <v>1</v>
      </c>
      <c r="F18" s="88">
        <v>2</v>
      </c>
      <c r="G18" s="88">
        <v>2</v>
      </c>
      <c r="H18" s="88">
        <v>2</v>
      </c>
      <c r="I18" s="88" t="s">
        <v>139</v>
      </c>
      <c r="J18" s="88" t="s">
        <v>139</v>
      </c>
      <c r="K18" s="88" t="s">
        <v>139</v>
      </c>
      <c r="L18" s="88" t="s">
        <v>139</v>
      </c>
      <c r="M18" s="88">
        <v>2</v>
      </c>
      <c r="N18" s="88" t="s">
        <v>139</v>
      </c>
      <c r="O18" s="88">
        <v>2</v>
      </c>
      <c r="P18" s="108">
        <v>2</v>
      </c>
      <c r="Q18" s="108">
        <v>2</v>
      </c>
      <c r="R18" s="109">
        <v>2</v>
      </c>
    </row>
    <row r="19" spans="1:18" ht="15.75">
      <c r="A19" s="14">
        <v>2</v>
      </c>
      <c r="B19" s="13" t="s">
        <v>4</v>
      </c>
      <c r="C19" s="107" t="s">
        <v>13</v>
      </c>
      <c r="D19" s="88">
        <v>2</v>
      </c>
      <c r="E19" s="88">
        <v>3</v>
      </c>
      <c r="F19" s="88">
        <v>2</v>
      </c>
      <c r="G19" s="88">
        <v>2</v>
      </c>
      <c r="H19" s="88">
        <v>1</v>
      </c>
      <c r="I19" s="88" t="s">
        <v>139</v>
      </c>
      <c r="J19" s="88" t="s">
        <v>139</v>
      </c>
      <c r="K19" s="88" t="s">
        <v>139</v>
      </c>
      <c r="L19" s="88" t="s">
        <v>139</v>
      </c>
      <c r="M19" s="88">
        <v>2</v>
      </c>
      <c r="N19" s="88" t="s">
        <v>139</v>
      </c>
      <c r="O19" s="88">
        <v>2</v>
      </c>
      <c r="P19" s="108">
        <v>2</v>
      </c>
      <c r="Q19" s="108">
        <v>2</v>
      </c>
      <c r="R19" s="109">
        <v>2</v>
      </c>
    </row>
    <row r="20" spans="1:18" ht="15.75">
      <c r="A20" s="14">
        <v>3</v>
      </c>
      <c r="B20" s="13" t="s">
        <v>5</v>
      </c>
      <c r="C20" s="107" t="s">
        <v>13</v>
      </c>
      <c r="D20" s="88">
        <v>3</v>
      </c>
      <c r="E20" s="88">
        <v>3</v>
      </c>
      <c r="F20" s="88">
        <v>3</v>
      </c>
      <c r="G20" s="88">
        <v>2</v>
      </c>
      <c r="H20" s="88">
        <v>2</v>
      </c>
      <c r="I20" s="88" t="s">
        <v>139</v>
      </c>
      <c r="J20" s="88" t="s">
        <v>139</v>
      </c>
      <c r="K20" s="88" t="s">
        <v>139</v>
      </c>
      <c r="L20" s="88" t="s">
        <v>139</v>
      </c>
      <c r="M20" s="88">
        <v>2</v>
      </c>
      <c r="N20" s="88" t="s">
        <v>139</v>
      </c>
      <c r="O20" s="88">
        <v>2</v>
      </c>
      <c r="P20" s="108">
        <v>2</v>
      </c>
      <c r="Q20" s="108">
        <v>2</v>
      </c>
      <c r="R20" s="109">
        <v>2</v>
      </c>
    </row>
    <row r="21" spans="1:18" ht="15.75">
      <c r="A21" s="14">
        <v>4</v>
      </c>
      <c r="B21" s="13" t="s">
        <v>7</v>
      </c>
      <c r="C21" s="107" t="s">
        <v>13</v>
      </c>
      <c r="D21" s="88">
        <v>2</v>
      </c>
      <c r="E21" s="88">
        <v>3</v>
      </c>
      <c r="F21" s="88">
        <v>3</v>
      </c>
      <c r="G21" s="88">
        <v>3</v>
      </c>
      <c r="H21" s="88">
        <v>2</v>
      </c>
      <c r="I21" s="88" t="s">
        <v>139</v>
      </c>
      <c r="J21" s="88" t="s">
        <v>139</v>
      </c>
      <c r="K21" s="88" t="s">
        <v>139</v>
      </c>
      <c r="L21" s="88" t="s">
        <v>139</v>
      </c>
      <c r="M21" s="88">
        <v>2</v>
      </c>
      <c r="N21" s="88" t="s">
        <v>139</v>
      </c>
      <c r="O21" s="88">
        <v>2</v>
      </c>
      <c r="P21" s="108">
        <v>2</v>
      </c>
      <c r="Q21" s="108">
        <v>2</v>
      </c>
      <c r="R21" s="109">
        <v>2</v>
      </c>
    </row>
    <row r="22" spans="1:18" ht="15.75">
      <c r="A22" s="14">
        <v>5</v>
      </c>
      <c r="B22" s="13" t="s">
        <v>8</v>
      </c>
      <c r="C22" s="107" t="s">
        <v>13</v>
      </c>
      <c r="D22" s="88">
        <v>3</v>
      </c>
      <c r="E22" s="88">
        <v>3</v>
      </c>
      <c r="F22" s="88">
        <v>3</v>
      </c>
      <c r="G22" s="88">
        <v>2</v>
      </c>
      <c r="H22" s="88">
        <v>2</v>
      </c>
      <c r="I22" s="88"/>
      <c r="J22" s="88"/>
      <c r="K22" s="88"/>
      <c r="L22" s="88"/>
      <c r="M22" s="88">
        <v>2</v>
      </c>
      <c r="N22" s="88"/>
      <c r="O22" s="88">
        <v>2</v>
      </c>
      <c r="P22" s="108">
        <v>2</v>
      </c>
      <c r="Q22" s="108">
        <v>2</v>
      </c>
      <c r="R22" s="109">
        <v>2</v>
      </c>
    </row>
    <row r="23" spans="1:18">
      <c r="A23" s="124" t="s">
        <v>130</v>
      </c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</row>
  </sheetData>
  <mergeCells count="22">
    <mergeCell ref="A1:Q1"/>
    <mergeCell ref="A2:Q2"/>
    <mergeCell ref="K4:Q4"/>
    <mergeCell ref="A4:E4"/>
    <mergeCell ref="E3:Q3"/>
    <mergeCell ref="A3:D3"/>
    <mergeCell ref="F4:J4"/>
    <mergeCell ref="A16:R16"/>
    <mergeCell ref="A9:C9"/>
    <mergeCell ref="A10:C10"/>
    <mergeCell ref="A11:C11"/>
    <mergeCell ref="A23:Q23"/>
    <mergeCell ref="D9:Q9"/>
    <mergeCell ref="D10:Q10"/>
    <mergeCell ref="D11:Q11"/>
    <mergeCell ref="D12:Q12"/>
    <mergeCell ref="D13:Q13"/>
    <mergeCell ref="A7:Q7"/>
    <mergeCell ref="A8:C8"/>
    <mergeCell ref="D8:Q8"/>
    <mergeCell ref="A12:C12"/>
    <mergeCell ref="A13:C1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6"/>
  <sheetViews>
    <sheetView topLeftCell="A16" zoomScale="70" zoomScaleNormal="70" workbookViewId="0">
      <selection activeCell="N37" sqref="N37"/>
    </sheetView>
  </sheetViews>
  <sheetFormatPr defaultRowHeight="15"/>
  <cols>
    <col min="1" max="1" width="5.7109375" style="16" bestFit="1" customWidth="1"/>
    <col min="2" max="2" width="5.7109375" style="16" customWidth="1"/>
    <col min="3" max="3" width="17.7109375" style="16" customWidth="1"/>
    <col min="4" max="4" width="34.5703125" style="16" customWidth="1"/>
    <col min="5" max="5" width="8.5703125" style="22" customWidth="1"/>
    <col min="6" max="6" width="8.28515625" style="16" customWidth="1"/>
    <col min="7" max="7" width="17.140625" style="16" bestFit="1" customWidth="1"/>
    <col min="8" max="10" width="6.42578125" style="16" customWidth="1"/>
    <col min="11" max="11" width="20.85546875" style="16" customWidth="1"/>
    <col min="12" max="16384" width="9.140625" style="16"/>
  </cols>
  <sheetData>
    <row r="1" spans="1:11" ht="18.75">
      <c r="A1" s="164" t="s">
        <v>148</v>
      </c>
      <c r="B1" s="165"/>
      <c r="C1" s="165"/>
      <c r="D1" s="165"/>
      <c r="E1" s="165"/>
      <c r="F1" s="165"/>
      <c r="G1" s="165"/>
      <c r="H1" s="165"/>
      <c r="I1" s="165"/>
      <c r="J1" s="165"/>
      <c r="K1" s="166"/>
    </row>
    <row r="2" spans="1:11" ht="18.75">
      <c r="A2" s="164" t="s">
        <v>17</v>
      </c>
      <c r="B2" s="165"/>
      <c r="C2" s="165"/>
      <c r="D2" s="165"/>
      <c r="E2" s="165"/>
      <c r="F2" s="165"/>
      <c r="G2" s="165"/>
      <c r="H2" s="165"/>
      <c r="I2" s="165"/>
      <c r="J2" s="165"/>
      <c r="K2" s="166"/>
    </row>
    <row r="3" spans="1:11" s="17" customFormat="1" ht="36" customHeight="1">
      <c r="A3" s="176" t="str">
        <f>'DATA INPUT SHEET'!A3:D3</f>
        <v>Semester: III</v>
      </c>
      <c r="B3" s="177"/>
      <c r="C3" s="177"/>
      <c r="D3" s="178"/>
      <c r="E3" s="176" t="str">
        <f>'DATA INPUT SHEET'!E3:Q3</f>
        <v>Name of the Faculty: Dr. Prateek Gangwar</v>
      </c>
      <c r="F3" s="177"/>
      <c r="G3" s="177"/>
      <c r="H3" s="177"/>
      <c r="I3" s="177"/>
      <c r="J3" s="178"/>
      <c r="K3" s="31" t="str">
        <f>'DATA INPUT SHEET'!A4</f>
        <v>Subject Code: BME-303</v>
      </c>
    </row>
    <row r="4" spans="1:11" ht="30" customHeight="1">
      <c r="A4" s="167" t="str">
        <f>'DATA INPUT SHEET'!A9:C9</f>
        <v>CO1</v>
      </c>
      <c r="B4" s="168"/>
      <c r="C4" s="169"/>
      <c r="D4" s="170" t="str">
        <f>'DATA INPUT SHEET'!D9:Q9</f>
        <v>Student will be able to identify crystal structures for various materials and understand the defects in such structures</v>
      </c>
      <c r="E4" s="171"/>
      <c r="F4" s="171"/>
      <c r="G4" s="171"/>
      <c r="H4" s="171"/>
      <c r="I4" s="171"/>
      <c r="J4" s="171"/>
      <c r="K4" s="172"/>
    </row>
    <row r="5" spans="1:11" s="17" customFormat="1" ht="30" customHeight="1">
      <c r="A5" s="167" t="str">
        <f>'DATA INPUT SHEET'!A10:C10</f>
        <v>CO2</v>
      </c>
      <c r="B5" s="168"/>
      <c r="C5" s="169"/>
      <c r="D5" s="173" t="str">
        <f>'DATA INPUT SHEET'!D10:Q10</f>
        <v>Understand how to tailor material properties of ferrous and non-ferrous alloys.</v>
      </c>
      <c r="E5" s="174"/>
      <c r="F5" s="174"/>
      <c r="G5" s="174"/>
      <c r="H5" s="174"/>
      <c r="I5" s="174"/>
      <c r="J5" s="174"/>
      <c r="K5" s="175"/>
    </row>
    <row r="6" spans="1:11" ht="30" customHeight="1">
      <c r="A6" s="167" t="str">
        <f>'DATA INPUT SHEET'!A11:C11</f>
        <v>CO3</v>
      </c>
      <c r="B6" s="168"/>
      <c r="C6" s="169"/>
      <c r="D6" s="173" t="str">
        <f>'DATA INPUT SHEET'!D11:Q11</f>
        <v>To understand method of Grinding &amp; Superfinishing for betterment of the manufacturing product.</v>
      </c>
      <c r="E6" s="174"/>
      <c r="F6" s="174"/>
      <c r="G6" s="174"/>
      <c r="H6" s="174"/>
      <c r="I6" s="174"/>
      <c r="J6" s="174"/>
      <c r="K6" s="175"/>
    </row>
    <row r="7" spans="1:11" ht="30" customHeight="1">
      <c r="A7" s="167" t="str">
        <f>'DATA INPUT SHEET'!A12:C12</f>
        <v>CO4</v>
      </c>
      <c r="B7" s="168"/>
      <c r="C7" s="169"/>
      <c r="D7" s="170" t="str">
        <f>'DATA INPUT SHEET'!D12:Q12</f>
        <v>To learn various hardness test.</v>
      </c>
      <c r="E7" s="171"/>
      <c r="F7" s="171"/>
      <c r="G7" s="171"/>
      <c r="H7" s="171"/>
      <c r="I7" s="171"/>
      <c r="J7" s="171"/>
      <c r="K7" s="172"/>
    </row>
    <row r="8" spans="1:11" ht="30" customHeight="1">
      <c r="A8" s="167" t="str">
        <f>'DATA INPUT SHEET'!A13:C13</f>
        <v>CO5</v>
      </c>
      <c r="B8" s="168"/>
      <c r="C8" s="169"/>
      <c r="D8" s="170" t="str">
        <f>'DATA INPUT SHEET'!D13:Q13</f>
        <v>Basic knowledge of NDT.</v>
      </c>
      <c r="E8" s="171"/>
      <c r="F8" s="171"/>
      <c r="G8" s="171"/>
      <c r="H8" s="171"/>
      <c r="I8" s="171"/>
      <c r="J8" s="171"/>
      <c r="K8" s="172"/>
    </row>
    <row r="9" spans="1:11" ht="15" customHeight="1">
      <c r="A9" s="153" t="s">
        <v>1</v>
      </c>
      <c r="B9" s="153" t="s">
        <v>15</v>
      </c>
      <c r="C9" s="153" t="s">
        <v>2</v>
      </c>
      <c r="D9" s="153" t="s">
        <v>0</v>
      </c>
      <c r="E9" s="153" t="s">
        <v>14</v>
      </c>
      <c r="F9" s="18" t="s">
        <v>145</v>
      </c>
      <c r="G9" s="153" t="s">
        <v>16</v>
      </c>
      <c r="H9" s="155" t="s">
        <v>147</v>
      </c>
      <c r="I9" s="156"/>
      <c r="J9" s="156"/>
      <c r="K9" s="157"/>
    </row>
    <row r="10" spans="1:11">
      <c r="A10" s="154"/>
      <c r="B10" s="154"/>
      <c r="C10" s="154"/>
      <c r="D10" s="154"/>
      <c r="E10" s="154"/>
      <c r="F10" s="19" t="s">
        <v>146</v>
      </c>
      <c r="G10" s="154"/>
      <c r="H10" s="158"/>
      <c r="I10" s="159"/>
      <c r="J10" s="159"/>
      <c r="K10" s="160"/>
    </row>
    <row r="11" spans="1:11">
      <c r="A11" s="154"/>
      <c r="B11" s="154"/>
      <c r="C11" s="154"/>
      <c r="D11" s="154"/>
      <c r="E11" s="154"/>
      <c r="F11" s="161" t="s">
        <v>155</v>
      </c>
      <c r="G11" s="154"/>
      <c r="H11" s="150" t="str">
        <f>IF(H13=0,"NOT APPLICABLE","APPLICABLE")</f>
        <v>APPLICABLE</v>
      </c>
      <c r="I11" s="151"/>
      <c r="J11" s="151"/>
      <c r="K11" s="152"/>
    </row>
    <row r="12" spans="1:11">
      <c r="A12" s="163"/>
      <c r="B12" s="163"/>
      <c r="C12" s="163"/>
      <c r="D12" s="163"/>
      <c r="E12" s="163"/>
      <c r="F12" s="162"/>
      <c r="G12" s="154"/>
      <c r="H12" s="32" t="s">
        <v>146</v>
      </c>
      <c r="I12" s="32" t="s">
        <v>127</v>
      </c>
      <c r="J12" s="32" t="s">
        <v>128</v>
      </c>
      <c r="K12" s="32" t="s">
        <v>129</v>
      </c>
    </row>
    <row r="13" spans="1:11" ht="38.25" customHeight="1">
      <c r="A13" s="141" t="s">
        <v>6</v>
      </c>
      <c r="B13" s="142"/>
      <c r="C13" s="142"/>
      <c r="D13" s="143"/>
      <c r="E13" s="34">
        <v>30</v>
      </c>
      <c r="F13" s="95">
        <v>30</v>
      </c>
      <c r="G13" s="33">
        <f>SUM(F13:F13)</f>
        <v>30</v>
      </c>
      <c r="H13" s="35">
        <f>SUMIF($F$10:$F$10,$H$12,$F$13:$F$13)</f>
        <v>30</v>
      </c>
      <c r="I13" s="35" t="s">
        <v>9</v>
      </c>
      <c r="J13" s="35" t="s">
        <v>10</v>
      </c>
      <c r="K13" s="35" t="s">
        <v>11</v>
      </c>
    </row>
    <row r="14" spans="1:11">
      <c r="A14" s="89">
        <v>1</v>
      </c>
      <c r="B14" s="90" t="s">
        <v>13</v>
      </c>
      <c r="C14" s="264">
        <v>2101650400002</v>
      </c>
      <c r="D14" s="266" t="s">
        <v>169</v>
      </c>
      <c r="E14" s="89" t="s">
        <v>12</v>
      </c>
      <c r="F14" s="268">
        <v>20</v>
      </c>
      <c r="G14" s="115">
        <f>IF(E14="A","A",IF(COUNTBLANK(F14:F14)=COUNT($F$13:$F$13),"ERROR",SUM(F14:F14)))</f>
        <v>20</v>
      </c>
      <c r="H14" s="36">
        <f t="shared" ref="H14:H43" si="0">IF(E14="P",IF(ISNUMBER(MATCH($H$12,$F$10:$F$10,0)),(SUMIF($F$10:$F$10,$H$12,F14:F14)),"NA"),"A")</f>
        <v>20</v>
      </c>
      <c r="I14" s="36">
        <f t="shared" ref="I14:I43" si="1">IF(H14="A","A",IF(COUNTBLANK(F14:F14)=COUNT($F$13:$F$13),0,IF(H14="NA",0,IF(H14&lt;($H$13*40)/100,1,0))))</f>
        <v>0</v>
      </c>
      <c r="J14" s="36">
        <f>IF(H14="A","A",IF(H14="NA",0,IF(AND(H14&gt;=($H$13*40)/100,H14&lt;($H$13*60)/100),1,0)))</f>
        <v>0</v>
      </c>
      <c r="K14" s="36">
        <f>IF(H14="A","A",IF(H14="NA",0,IF(H14&gt;=($H$13*60)/100,1,0)))</f>
        <v>1</v>
      </c>
    </row>
    <row r="15" spans="1:11">
      <c r="A15" s="89">
        <v>2</v>
      </c>
      <c r="B15" s="90" t="s">
        <v>13</v>
      </c>
      <c r="C15" s="265">
        <v>2201650400001</v>
      </c>
      <c r="D15" s="267" t="s">
        <v>170</v>
      </c>
      <c r="E15" s="89" t="s">
        <v>12</v>
      </c>
      <c r="F15" s="268">
        <v>30</v>
      </c>
      <c r="G15" s="115">
        <f t="shared" ref="G15:G43" si="2">IF(E15="A","A",IF(COUNTBLANK(F15:F15)=COUNT($F$13:$F$13),"ERROR",SUM(F15:F15)))</f>
        <v>30</v>
      </c>
      <c r="H15" s="36">
        <f t="shared" si="0"/>
        <v>30</v>
      </c>
      <c r="I15" s="36">
        <f t="shared" si="1"/>
        <v>0</v>
      </c>
      <c r="J15" s="36">
        <f t="shared" ref="J15:J43" si="3">IF(H15="A","A",IF(H15="NA",0,IF(AND(H15&gt;=($H$13*40)/100,H15&lt;($H$13*60)/100),1,0)))</f>
        <v>0</v>
      </c>
      <c r="K15" s="36">
        <f t="shared" ref="K15:K43" si="4">IF(H15="A","A",IF(H15="NA",0,IF(H15&gt;=($H$13*60)/100,1,0)))</f>
        <v>1</v>
      </c>
    </row>
    <row r="16" spans="1:11">
      <c r="A16" s="89">
        <v>3</v>
      </c>
      <c r="B16" s="90" t="s">
        <v>13</v>
      </c>
      <c r="C16" s="265">
        <v>2201650400002</v>
      </c>
      <c r="D16" s="267" t="s">
        <v>171</v>
      </c>
      <c r="E16" s="89" t="s">
        <v>12</v>
      </c>
      <c r="F16" s="268">
        <v>23</v>
      </c>
      <c r="G16" s="115">
        <f t="shared" si="2"/>
        <v>23</v>
      </c>
      <c r="H16" s="36">
        <f t="shared" si="0"/>
        <v>23</v>
      </c>
      <c r="I16" s="36">
        <f t="shared" si="1"/>
        <v>0</v>
      </c>
      <c r="J16" s="36">
        <f t="shared" si="3"/>
        <v>0</v>
      </c>
      <c r="K16" s="36">
        <f t="shared" si="4"/>
        <v>1</v>
      </c>
    </row>
    <row r="17" spans="1:11">
      <c r="A17" s="89">
        <v>4</v>
      </c>
      <c r="B17" s="90" t="s">
        <v>13</v>
      </c>
      <c r="C17" s="265">
        <v>2201650400004</v>
      </c>
      <c r="D17" s="267" t="s">
        <v>172</v>
      </c>
      <c r="E17" s="89" t="s">
        <v>12</v>
      </c>
      <c r="F17" s="268">
        <v>30</v>
      </c>
      <c r="G17" s="115">
        <f t="shared" si="2"/>
        <v>30</v>
      </c>
      <c r="H17" s="36">
        <f t="shared" si="0"/>
        <v>30</v>
      </c>
      <c r="I17" s="36">
        <f t="shared" si="1"/>
        <v>0</v>
      </c>
      <c r="J17" s="36">
        <f t="shared" si="3"/>
        <v>0</v>
      </c>
      <c r="K17" s="36">
        <f t="shared" si="4"/>
        <v>1</v>
      </c>
    </row>
    <row r="18" spans="1:11">
      <c r="A18" s="89">
        <v>5</v>
      </c>
      <c r="B18" s="90" t="s">
        <v>13</v>
      </c>
      <c r="C18" s="265">
        <v>2201650400007</v>
      </c>
      <c r="D18" s="267" t="s">
        <v>173</v>
      </c>
      <c r="E18" s="89" t="s">
        <v>12</v>
      </c>
      <c r="F18" s="268">
        <v>26</v>
      </c>
      <c r="G18" s="115">
        <f t="shared" si="2"/>
        <v>26</v>
      </c>
      <c r="H18" s="36">
        <f t="shared" si="0"/>
        <v>26</v>
      </c>
      <c r="I18" s="36">
        <f t="shared" si="1"/>
        <v>0</v>
      </c>
      <c r="J18" s="36">
        <f t="shared" si="3"/>
        <v>0</v>
      </c>
      <c r="K18" s="36">
        <f t="shared" si="4"/>
        <v>1</v>
      </c>
    </row>
    <row r="19" spans="1:11">
      <c r="A19" s="89">
        <v>6</v>
      </c>
      <c r="B19" s="90" t="s">
        <v>13</v>
      </c>
      <c r="C19" s="265">
        <v>2201650400008</v>
      </c>
      <c r="D19" s="267" t="s">
        <v>174</v>
      </c>
      <c r="E19" s="89" t="s">
        <v>12</v>
      </c>
      <c r="F19" s="268">
        <v>25</v>
      </c>
      <c r="G19" s="115">
        <f t="shared" si="2"/>
        <v>25</v>
      </c>
      <c r="H19" s="36">
        <f t="shared" si="0"/>
        <v>25</v>
      </c>
      <c r="I19" s="36">
        <f t="shared" si="1"/>
        <v>0</v>
      </c>
      <c r="J19" s="36">
        <f t="shared" si="3"/>
        <v>0</v>
      </c>
      <c r="K19" s="36">
        <f t="shared" si="4"/>
        <v>1</v>
      </c>
    </row>
    <row r="20" spans="1:11">
      <c r="A20" s="89">
        <v>7</v>
      </c>
      <c r="B20" s="90" t="s">
        <v>13</v>
      </c>
      <c r="C20" s="265">
        <v>2201650400009</v>
      </c>
      <c r="D20" s="267" t="s">
        <v>175</v>
      </c>
      <c r="E20" s="89" t="s">
        <v>12</v>
      </c>
      <c r="F20" s="268">
        <v>23</v>
      </c>
      <c r="G20" s="115">
        <f t="shared" si="2"/>
        <v>23</v>
      </c>
      <c r="H20" s="36">
        <f t="shared" si="0"/>
        <v>23</v>
      </c>
      <c r="I20" s="36">
        <f t="shared" si="1"/>
        <v>0</v>
      </c>
      <c r="J20" s="36">
        <f t="shared" si="3"/>
        <v>0</v>
      </c>
      <c r="K20" s="36">
        <f t="shared" si="4"/>
        <v>1</v>
      </c>
    </row>
    <row r="21" spans="1:11">
      <c r="A21" s="89">
        <v>8</v>
      </c>
      <c r="B21" s="90" t="s">
        <v>13</v>
      </c>
      <c r="C21" s="265">
        <v>2201650400013</v>
      </c>
      <c r="D21" s="267" t="s">
        <v>176</v>
      </c>
      <c r="E21" s="89" t="s">
        <v>12</v>
      </c>
      <c r="F21" s="268">
        <v>19</v>
      </c>
      <c r="G21" s="115">
        <f t="shared" si="2"/>
        <v>19</v>
      </c>
      <c r="H21" s="36">
        <f t="shared" si="0"/>
        <v>19</v>
      </c>
      <c r="I21" s="36">
        <f t="shared" si="1"/>
        <v>0</v>
      </c>
      <c r="J21" s="36">
        <f t="shared" si="3"/>
        <v>0</v>
      </c>
      <c r="K21" s="36">
        <f t="shared" si="4"/>
        <v>1</v>
      </c>
    </row>
    <row r="22" spans="1:11">
      <c r="A22" s="89">
        <v>9</v>
      </c>
      <c r="B22" s="90" t="s">
        <v>13</v>
      </c>
      <c r="C22" s="265">
        <v>2201650400014</v>
      </c>
      <c r="D22" s="267" t="s">
        <v>177</v>
      </c>
      <c r="E22" s="89" t="s">
        <v>12</v>
      </c>
      <c r="F22" s="268">
        <v>23</v>
      </c>
      <c r="G22" s="115">
        <f t="shared" si="2"/>
        <v>23</v>
      </c>
      <c r="H22" s="36">
        <f t="shared" si="0"/>
        <v>23</v>
      </c>
      <c r="I22" s="36">
        <f t="shared" si="1"/>
        <v>0</v>
      </c>
      <c r="J22" s="36">
        <f t="shared" si="3"/>
        <v>0</v>
      </c>
      <c r="K22" s="36">
        <f t="shared" si="4"/>
        <v>1</v>
      </c>
    </row>
    <row r="23" spans="1:11">
      <c r="A23" s="89">
        <v>10</v>
      </c>
      <c r="B23" s="90" t="s">
        <v>13</v>
      </c>
      <c r="C23" s="265">
        <v>2201650400015</v>
      </c>
      <c r="D23" s="267" t="s">
        <v>178</v>
      </c>
      <c r="E23" s="89" t="s">
        <v>12</v>
      </c>
      <c r="F23" s="268">
        <v>30</v>
      </c>
      <c r="G23" s="115">
        <f t="shared" si="2"/>
        <v>30</v>
      </c>
      <c r="H23" s="36">
        <f t="shared" si="0"/>
        <v>30</v>
      </c>
      <c r="I23" s="36">
        <f t="shared" si="1"/>
        <v>0</v>
      </c>
      <c r="J23" s="36">
        <f t="shared" si="3"/>
        <v>0</v>
      </c>
      <c r="K23" s="36">
        <f t="shared" si="4"/>
        <v>1</v>
      </c>
    </row>
    <row r="24" spans="1:11">
      <c r="A24" s="89">
        <v>11</v>
      </c>
      <c r="B24" s="90" t="s">
        <v>13</v>
      </c>
      <c r="C24" s="265">
        <v>2301650409001</v>
      </c>
      <c r="D24" s="267" t="s">
        <v>179</v>
      </c>
      <c r="E24" s="89" t="s">
        <v>12</v>
      </c>
      <c r="F24" s="268">
        <v>16</v>
      </c>
      <c r="G24" s="115">
        <f t="shared" si="2"/>
        <v>16</v>
      </c>
      <c r="H24" s="36">
        <f t="shared" si="0"/>
        <v>16</v>
      </c>
      <c r="I24" s="36">
        <f t="shared" si="1"/>
        <v>0</v>
      </c>
      <c r="J24" s="36">
        <f t="shared" si="3"/>
        <v>1</v>
      </c>
      <c r="K24" s="36">
        <f t="shared" si="4"/>
        <v>0</v>
      </c>
    </row>
    <row r="25" spans="1:11">
      <c r="A25" s="89">
        <v>12</v>
      </c>
      <c r="B25" s="90" t="s">
        <v>13</v>
      </c>
      <c r="C25" s="265">
        <v>2301650409002</v>
      </c>
      <c r="D25" s="267" t="s">
        <v>180</v>
      </c>
      <c r="E25" s="89" t="s">
        <v>12</v>
      </c>
      <c r="F25" s="268">
        <v>24</v>
      </c>
      <c r="G25" s="115">
        <f t="shared" si="2"/>
        <v>24</v>
      </c>
      <c r="H25" s="36">
        <f t="shared" si="0"/>
        <v>24</v>
      </c>
      <c r="I25" s="36">
        <f t="shared" si="1"/>
        <v>0</v>
      </c>
      <c r="J25" s="36">
        <f t="shared" si="3"/>
        <v>0</v>
      </c>
      <c r="K25" s="36">
        <f t="shared" si="4"/>
        <v>1</v>
      </c>
    </row>
    <row r="26" spans="1:11">
      <c r="A26" s="89">
        <v>13</v>
      </c>
      <c r="B26" s="90" t="s">
        <v>13</v>
      </c>
      <c r="C26" s="265">
        <v>2301650409003</v>
      </c>
      <c r="D26" s="267" t="s">
        <v>181</v>
      </c>
      <c r="E26" s="89" t="s">
        <v>12</v>
      </c>
      <c r="F26" s="268">
        <v>30</v>
      </c>
      <c r="G26" s="115">
        <f t="shared" si="2"/>
        <v>30</v>
      </c>
      <c r="H26" s="36">
        <f t="shared" si="0"/>
        <v>30</v>
      </c>
      <c r="I26" s="36">
        <f t="shared" si="1"/>
        <v>0</v>
      </c>
      <c r="J26" s="36">
        <f t="shared" si="3"/>
        <v>0</v>
      </c>
      <c r="K26" s="36">
        <f t="shared" si="4"/>
        <v>1</v>
      </c>
    </row>
    <row r="27" spans="1:11">
      <c r="A27" s="89">
        <v>14</v>
      </c>
      <c r="B27" s="90" t="s">
        <v>13</v>
      </c>
      <c r="C27" s="265">
        <v>2301650409005</v>
      </c>
      <c r="D27" s="267" t="s">
        <v>182</v>
      </c>
      <c r="E27" s="89" t="s">
        <v>12</v>
      </c>
      <c r="F27" s="269">
        <v>15</v>
      </c>
      <c r="G27" s="115">
        <f t="shared" si="2"/>
        <v>15</v>
      </c>
      <c r="H27" s="36">
        <f t="shared" si="0"/>
        <v>15</v>
      </c>
      <c r="I27" s="36">
        <f t="shared" si="1"/>
        <v>0</v>
      </c>
      <c r="J27" s="36">
        <f t="shared" si="3"/>
        <v>1</v>
      </c>
      <c r="K27" s="36">
        <f t="shared" si="4"/>
        <v>0</v>
      </c>
    </row>
    <row r="28" spans="1:11">
      <c r="A28" s="89">
        <v>15</v>
      </c>
      <c r="B28" s="90" t="s">
        <v>13</v>
      </c>
      <c r="C28" s="265">
        <v>2301650409006</v>
      </c>
      <c r="D28" s="267" t="s">
        <v>183</v>
      </c>
      <c r="E28" s="89" t="s">
        <v>12</v>
      </c>
      <c r="F28" s="268">
        <v>26</v>
      </c>
      <c r="G28" s="115">
        <f t="shared" si="2"/>
        <v>26</v>
      </c>
      <c r="H28" s="36">
        <f t="shared" si="0"/>
        <v>26</v>
      </c>
      <c r="I28" s="36">
        <f t="shared" si="1"/>
        <v>0</v>
      </c>
      <c r="J28" s="36">
        <f t="shared" si="3"/>
        <v>0</v>
      </c>
      <c r="K28" s="36">
        <f t="shared" si="4"/>
        <v>1</v>
      </c>
    </row>
    <row r="29" spans="1:11">
      <c r="A29" s="89">
        <v>16</v>
      </c>
      <c r="B29" s="90" t="s">
        <v>13</v>
      </c>
      <c r="C29" s="265">
        <v>2301650409007</v>
      </c>
      <c r="D29" s="267" t="s">
        <v>184</v>
      </c>
      <c r="E29" s="89" t="s">
        <v>12</v>
      </c>
      <c r="F29" s="268">
        <v>30</v>
      </c>
      <c r="G29" s="115">
        <f t="shared" si="2"/>
        <v>30</v>
      </c>
      <c r="H29" s="36">
        <f t="shared" si="0"/>
        <v>30</v>
      </c>
      <c r="I29" s="36">
        <f t="shared" si="1"/>
        <v>0</v>
      </c>
      <c r="J29" s="36">
        <f t="shared" si="3"/>
        <v>0</v>
      </c>
      <c r="K29" s="36">
        <f t="shared" si="4"/>
        <v>1</v>
      </c>
    </row>
    <row r="30" spans="1:11">
      <c r="A30" s="89">
        <v>17</v>
      </c>
      <c r="B30" s="90" t="s">
        <v>13</v>
      </c>
      <c r="C30" s="265">
        <v>2301650409008</v>
      </c>
      <c r="D30" s="267" t="s">
        <v>185</v>
      </c>
      <c r="E30" s="89" t="s">
        <v>12</v>
      </c>
      <c r="F30" s="268">
        <v>25</v>
      </c>
      <c r="G30" s="115">
        <f t="shared" si="2"/>
        <v>25</v>
      </c>
      <c r="H30" s="36">
        <f t="shared" si="0"/>
        <v>25</v>
      </c>
      <c r="I30" s="36">
        <f t="shared" si="1"/>
        <v>0</v>
      </c>
      <c r="J30" s="36">
        <f t="shared" si="3"/>
        <v>0</v>
      </c>
      <c r="K30" s="36">
        <f t="shared" si="4"/>
        <v>1</v>
      </c>
    </row>
    <row r="31" spans="1:11">
      <c r="A31" s="89">
        <v>18</v>
      </c>
      <c r="B31" s="90" t="s">
        <v>13</v>
      </c>
      <c r="C31" s="265">
        <v>2301650409009</v>
      </c>
      <c r="D31" s="267" t="s">
        <v>186</v>
      </c>
      <c r="E31" s="89" t="s">
        <v>12</v>
      </c>
      <c r="F31" s="268">
        <v>26</v>
      </c>
      <c r="G31" s="115">
        <f t="shared" si="2"/>
        <v>26</v>
      </c>
      <c r="H31" s="36">
        <f t="shared" si="0"/>
        <v>26</v>
      </c>
      <c r="I31" s="36">
        <f t="shared" si="1"/>
        <v>0</v>
      </c>
      <c r="J31" s="36">
        <f t="shared" si="3"/>
        <v>0</v>
      </c>
      <c r="K31" s="36">
        <f t="shared" si="4"/>
        <v>1</v>
      </c>
    </row>
    <row r="32" spans="1:11">
      <c r="A32" s="89">
        <v>19</v>
      </c>
      <c r="B32" s="90" t="s">
        <v>13</v>
      </c>
      <c r="C32" s="113"/>
      <c r="D32" s="114"/>
      <c r="E32" s="89"/>
      <c r="F32" s="93"/>
      <c r="G32" s="115"/>
      <c r="H32" s="36"/>
      <c r="I32" s="36"/>
      <c r="J32" s="36"/>
      <c r="K32" s="36"/>
    </row>
    <row r="33" spans="1:11">
      <c r="A33" s="89">
        <v>20</v>
      </c>
      <c r="B33" s="90" t="s">
        <v>13</v>
      </c>
      <c r="C33" s="113"/>
      <c r="D33" s="114"/>
      <c r="E33" s="89"/>
      <c r="F33" s="93"/>
      <c r="G33" s="115"/>
      <c r="H33" s="36"/>
      <c r="I33" s="36"/>
      <c r="J33" s="36"/>
      <c r="K33" s="36"/>
    </row>
    <row r="34" spans="1:11">
      <c r="A34" s="89">
        <v>21</v>
      </c>
      <c r="B34" s="90" t="s">
        <v>13</v>
      </c>
      <c r="C34" s="113"/>
      <c r="D34" s="114"/>
      <c r="E34" s="89"/>
      <c r="F34" s="93"/>
      <c r="G34" s="115"/>
      <c r="H34" s="36"/>
      <c r="I34" s="36"/>
      <c r="J34" s="36"/>
      <c r="K34" s="36"/>
    </row>
    <row r="35" spans="1:11">
      <c r="A35" s="89">
        <v>22</v>
      </c>
      <c r="B35" s="90" t="s">
        <v>13</v>
      </c>
      <c r="C35" s="113"/>
      <c r="D35" s="114"/>
      <c r="E35" s="89"/>
      <c r="F35" s="93"/>
      <c r="G35" s="115"/>
      <c r="H35" s="36"/>
      <c r="I35" s="36"/>
      <c r="J35" s="36"/>
      <c r="K35" s="36"/>
    </row>
    <row r="36" spans="1:11">
      <c r="A36" s="89">
        <v>23</v>
      </c>
      <c r="B36" s="90" t="s">
        <v>13</v>
      </c>
      <c r="C36" s="113"/>
      <c r="D36" s="114"/>
      <c r="E36" s="89"/>
      <c r="F36" s="93"/>
      <c r="G36" s="115"/>
      <c r="H36" s="36"/>
      <c r="I36" s="36"/>
      <c r="J36" s="36"/>
      <c r="K36" s="36"/>
    </row>
    <row r="37" spans="1:11">
      <c r="A37" s="89">
        <v>24</v>
      </c>
      <c r="B37" s="90" t="s">
        <v>13</v>
      </c>
      <c r="C37" s="113"/>
      <c r="D37" s="114"/>
      <c r="E37" s="89"/>
      <c r="F37" s="93"/>
      <c r="G37" s="115"/>
      <c r="H37" s="36"/>
      <c r="I37" s="36"/>
      <c r="J37" s="36"/>
      <c r="K37" s="36"/>
    </row>
    <row r="38" spans="1:11">
      <c r="A38" s="89">
        <v>25</v>
      </c>
      <c r="B38" s="90" t="s">
        <v>13</v>
      </c>
      <c r="C38" s="113"/>
      <c r="D38" s="114"/>
      <c r="E38" s="89"/>
      <c r="F38" s="93"/>
      <c r="G38" s="115"/>
      <c r="H38" s="36"/>
      <c r="I38" s="36"/>
      <c r="J38" s="36"/>
      <c r="K38" s="36"/>
    </row>
    <row r="39" spans="1:11">
      <c r="A39" s="89">
        <v>26</v>
      </c>
      <c r="B39" s="90" t="s">
        <v>13</v>
      </c>
      <c r="C39" s="113"/>
      <c r="D39" s="114"/>
      <c r="E39" s="89"/>
      <c r="F39" s="93"/>
      <c r="G39" s="115"/>
      <c r="H39" s="36"/>
      <c r="I39" s="36"/>
      <c r="J39" s="36"/>
      <c r="K39" s="36"/>
    </row>
    <row r="40" spans="1:11">
      <c r="A40" s="89">
        <v>27</v>
      </c>
      <c r="B40" s="90" t="s">
        <v>13</v>
      </c>
      <c r="C40" s="113"/>
      <c r="D40" s="114"/>
      <c r="E40" s="89"/>
      <c r="F40" s="93"/>
      <c r="G40" s="115"/>
      <c r="H40" s="36"/>
      <c r="I40" s="36"/>
      <c r="J40" s="36"/>
      <c r="K40" s="36"/>
    </row>
    <row r="41" spans="1:11">
      <c r="A41" s="89">
        <v>28</v>
      </c>
      <c r="B41" s="90" t="s">
        <v>13</v>
      </c>
      <c r="C41" s="113"/>
      <c r="D41" s="114"/>
      <c r="E41" s="89"/>
      <c r="F41" s="93"/>
      <c r="G41" s="115"/>
      <c r="H41" s="36"/>
      <c r="I41" s="36"/>
      <c r="J41" s="36"/>
      <c r="K41" s="36"/>
    </row>
    <row r="42" spans="1:11">
      <c r="A42" s="89">
        <v>29</v>
      </c>
      <c r="B42" s="90" t="s">
        <v>13</v>
      </c>
      <c r="C42" s="113"/>
      <c r="D42" s="114"/>
      <c r="E42" s="89"/>
      <c r="F42" s="93"/>
      <c r="G42" s="115"/>
      <c r="H42" s="36"/>
      <c r="I42" s="36"/>
      <c r="J42" s="36"/>
      <c r="K42" s="36"/>
    </row>
    <row r="43" spans="1:11">
      <c r="A43" s="89">
        <v>30</v>
      </c>
      <c r="B43" s="90" t="s">
        <v>13</v>
      </c>
      <c r="C43" s="113"/>
      <c r="D43" s="114"/>
      <c r="E43" s="89"/>
      <c r="F43" s="93"/>
      <c r="G43" s="115"/>
      <c r="H43" s="36"/>
      <c r="I43" s="36"/>
      <c r="J43" s="36"/>
      <c r="K43" s="36"/>
    </row>
    <row r="44" spans="1:11">
      <c r="A44" s="89">
        <v>31</v>
      </c>
      <c r="B44" s="90" t="s">
        <v>13</v>
      </c>
      <c r="C44" s="91"/>
      <c r="D44" s="92"/>
      <c r="E44" s="89"/>
      <c r="F44" s="93"/>
      <c r="G44" s="36"/>
      <c r="H44" s="36"/>
      <c r="I44" s="36"/>
      <c r="J44" s="36"/>
      <c r="K44" s="36"/>
    </row>
    <row r="45" spans="1:11">
      <c r="A45" s="89">
        <v>32</v>
      </c>
      <c r="B45" s="90" t="s">
        <v>13</v>
      </c>
      <c r="C45" s="91"/>
      <c r="D45" s="92"/>
      <c r="E45" s="89"/>
      <c r="F45" s="93"/>
      <c r="G45" s="36"/>
      <c r="H45" s="36"/>
      <c r="I45" s="36"/>
      <c r="J45" s="36"/>
      <c r="K45" s="36"/>
    </row>
    <row r="46" spans="1:11">
      <c r="A46" s="89">
        <v>33</v>
      </c>
      <c r="B46" s="90" t="s">
        <v>13</v>
      </c>
      <c r="C46" s="91"/>
      <c r="D46" s="92"/>
      <c r="E46" s="89"/>
      <c r="F46" s="93"/>
      <c r="G46" s="36"/>
      <c r="H46" s="36"/>
      <c r="I46" s="36"/>
      <c r="J46" s="36"/>
      <c r="K46" s="36"/>
    </row>
    <row r="47" spans="1:11">
      <c r="A47" s="89">
        <v>34</v>
      </c>
      <c r="B47" s="90" t="s">
        <v>13</v>
      </c>
      <c r="C47" s="91"/>
      <c r="D47" s="92"/>
      <c r="E47" s="89"/>
      <c r="F47" s="93"/>
      <c r="G47" s="36"/>
      <c r="H47" s="36"/>
      <c r="I47" s="36"/>
      <c r="J47" s="36"/>
      <c r="K47" s="36"/>
    </row>
    <row r="48" spans="1:11">
      <c r="A48" s="89">
        <v>35</v>
      </c>
      <c r="B48" s="90" t="s">
        <v>13</v>
      </c>
      <c r="C48" s="91"/>
      <c r="D48" s="92"/>
      <c r="E48" s="89"/>
      <c r="F48" s="93"/>
      <c r="G48" s="36"/>
      <c r="H48" s="36"/>
      <c r="I48" s="36"/>
      <c r="J48" s="36"/>
      <c r="K48" s="36"/>
    </row>
    <row r="49" spans="1:11">
      <c r="A49" s="89">
        <v>36</v>
      </c>
      <c r="B49" s="90" t="s">
        <v>13</v>
      </c>
      <c r="C49" s="91"/>
      <c r="D49" s="92"/>
      <c r="E49" s="89"/>
      <c r="F49" s="93"/>
      <c r="G49" s="36"/>
      <c r="H49" s="36"/>
      <c r="I49" s="36"/>
      <c r="J49" s="36"/>
      <c r="K49" s="36"/>
    </row>
    <row r="50" spans="1:11">
      <c r="A50" s="89">
        <v>37</v>
      </c>
      <c r="B50" s="90" t="s">
        <v>13</v>
      </c>
      <c r="C50" s="91"/>
      <c r="D50" s="92"/>
      <c r="E50" s="89"/>
      <c r="F50" s="93"/>
      <c r="G50" s="36"/>
      <c r="H50" s="36"/>
      <c r="I50" s="36"/>
      <c r="J50" s="36"/>
      <c r="K50" s="36"/>
    </row>
    <row r="51" spans="1:11">
      <c r="A51" s="89">
        <v>38</v>
      </c>
      <c r="B51" s="90" t="s">
        <v>13</v>
      </c>
      <c r="C51" s="91"/>
      <c r="D51" s="92"/>
      <c r="E51" s="89"/>
      <c r="F51" s="93"/>
      <c r="G51" s="36"/>
      <c r="H51" s="36"/>
      <c r="I51" s="36"/>
      <c r="J51" s="36"/>
      <c r="K51" s="36"/>
    </row>
    <row r="52" spans="1:11">
      <c r="A52" s="89">
        <v>39</v>
      </c>
      <c r="B52" s="90" t="s">
        <v>13</v>
      </c>
      <c r="C52" s="91"/>
      <c r="D52" s="92"/>
      <c r="E52" s="89"/>
      <c r="F52" s="93"/>
      <c r="G52" s="36"/>
      <c r="H52" s="36"/>
      <c r="I52" s="36"/>
      <c r="J52" s="36"/>
      <c r="K52" s="36"/>
    </row>
    <row r="53" spans="1:11">
      <c r="A53" s="89">
        <v>40</v>
      </c>
      <c r="B53" s="90" t="s">
        <v>13</v>
      </c>
      <c r="C53" s="91"/>
      <c r="D53" s="92"/>
      <c r="E53" s="89"/>
      <c r="F53" s="93"/>
      <c r="G53" s="36"/>
      <c r="H53" s="36"/>
      <c r="I53" s="36"/>
      <c r="J53" s="36"/>
      <c r="K53" s="36"/>
    </row>
    <row r="54" spans="1:11">
      <c r="A54" s="89">
        <v>41</v>
      </c>
      <c r="B54" s="90" t="s">
        <v>13</v>
      </c>
      <c r="C54" s="91"/>
      <c r="D54" s="92"/>
      <c r="E54" s="89"/>
      <c r="F54" s="93"/>
      <c r="G54" s="36"/>
      <c r="H54" s="36"/>
      <c r="I54" s="36"/>
      <c r="J54" s="36"/>
      <c r="K54" s="36"/>
    </row>
    <row r="55" spans="1:11">
      <c r="A55" s="89">
        <v>42</v>
      </c>
      <c r="B55" s="90" t="s">
        <v>13</v>
      </c>
      <c r="C55" s="91"/>
      <c r="D55" s="92"/>
      <c r="E55" s="89"/>
      <c r="F55" s="93"/>
      <c r="G55" s="36"/>
      <c r="H55" s="36"/>
      <c r="I55" s="36"/>
      <c r="J55" s="36"/>
      <c r="K55" s="36"/>
    </row>
    <row r="56" spans="1:11">
      <c r="A56" s="89">
        <v>43</v>
      </c>
      <c r="B56" s="90" t="s">
        <v>13</v>
      </c>
      <c r="C56" s="91"/>
      <c r="D56" s="92"/>
      <c r="E56" s="89"/>
      <c r="F56" s="93"/>
      <c r="G56" s="36"/>
      <c r="H56" s="36"/>
      <c r="I56" s="36"/>
      <c r="J56" s="36"/>
      <c r="K56" s="36"/>
    </row>
    <row r="57" spans="1:11">
      <c r="A57" s="89">
        <v>44</v>
      </c>
      <c r="B57" s="90" t="s">
        <v>13</v>
      </c>
      <c r="C57" s="91"/>
      <c r="D57" s="92"/>
      <c r="E57" s="89"/>
      <c r="F57" s="93"/>
      <c r="G57" s="36"/>
      <c r="H57" s="36"/>
      <c r="I57" s="36"/>
      <c r="J57" s="36"/>
      <c r="K57" s="36"/>
    </row>
    <row r="58" spans="1:11">
      <c r="A58" s="89">
        <v>45</v>
      </c>
      <c r="B58" s="90" t="s">
        <v>13</v>
      </c>
      <c r="C58" s="91"/>
      <c r="D58" s="92"/>
      <c r="E58" s="89"/>
      <c r="F58" s="93"/>
      <c r="G58" s="36"/>
      <c r="H58" s="36"/>
      <c r="I58" s="36"/>
      <c r="J58" s="36"/>
      <c r="K58" s="36"/>
    </row>
    <row r="59" spans="1:11">
      <c r="A59" s="89">
        <v>46</v>
      </c>
      <c r="B59" s="90" t="s">
        <v>13</v>
      </c>
      <c r="C59" s="91"/>
      <c r="D59" s="92"/>
      <c r="E59" s="89"/>
      <c r="F59" s="93"/>
      <c r="G59" s="36"/>
      <c r="H59" s="36"/>
      <c r="I59" s="36"/>
      <c r="J59" s="36"/>
      <c r="K59" s="36"/>
    </row>
    <row r="60" spans="1:11">
      <c r="A60" s="89">
        <v>47</v>
      </c>
      <c r="B60" s="90" t="s">
        <v>13</v>
      </c>
      <c r="C60" s="91"/>
      <c r="D60" s="92"/>
      <c r="E60" s="89"/>
      <c r="F60" s="93"/>
      <c r="G60" s="36"/>
      <c r="H60" s="36"/>
      <c r="I60" s="36"/>
      <c r="J60" s="36"/>
      <c r="K60" s="36"/>
    </row>
    <row r="61" spans="1:11">
      <c r="A61" s="89">
        <v>48</v>
      </c>
      <c r="B61" s="90" t="s">
        <v>13</v>
      </c>
      <c r="C61" s="91"/>
      <c r="D61" s="92"/>
      <c r="E61" s="89"/>
      <c r="F61" s="93"/>
      <c r="G61" s="36"/>
      <c r="H61" s="36"/>
      <c r="I61" s="36"/>
      <c r="J61" s="36"/>
      <c r="K61" s="36"/>
    </row>
    <row r="62" spans="1:11">
      <c r="A62" s="89">
        <v>49</v>
      </c>
      <c r="B62" s="90" t="s">
        <v>13</v>
      </c>
      <c r="C62" s="91"/>
      <c r="D62" s="92"/>
      <c r="E62" s="89"/>
      <c r="F62" s="93"/>
      <c r="G62" s="36"/>
      <c r="H62" s="36"/>
      <c r="I62" s="36"/>
      <c r="J62" s="36"/>
      <c r="K62" s="36"/>
    </row>
    <row r="63" spans="1:11">
      <c r="A63" s="89">
        <v>50</v>
      </c>
      <c r="B63" s="90" t="s">
        <v>13</v>
      </c>
      <c r="C63" s="91"/>
      <c r="D63" s="92"/>
      <c r="E63" s="89"/>
      <c r="F63" s="93"/>
      <c r="G63" s="36"/>
      <c r="H63" s="36"/>
      <c r="I63" s="36"/>
      <c r="J63" s="36"/>
      <c r="K63" s="36"/>
    </row>
    <row r="64" spans="1:11">
      <c r="A64" s="89">
        <v>51</v>
      </c>
      <c r="B64" s="90" t="s">
        <v>13</v>
      </c>
      <c r="C64" s="91"/>
      <c r="D64" s="92"/>
      <c r="E64" s="89"/>
      <c r="F64" s="93"/>
      <c r="G64" s="36"/>
      <c r="H64" s="36"/>
      <c r="I64" s="36"/>
      <c r="J64" s="36"/>
      <c r="K64" s="36"/>
    </row>
    <row r="65" spans="1:11">
      <c r="A65" s="89">
        <v>52</v>
      </c>
      <c r="B65" s="90" t="s">
        <v>13</v>
      </c>
      <c r="C65" s="91"/>
      <c r="D65" s="92"/>
      <c r="E65" s="89"/>
      <c r="F65" s="93"/>
      <c r="G65" s="36"/>
      <c r="H65" s="36"/>
      <c r="I65" s="36"/>
      <c r="J65" s="36"/>
      <c r="K65" s="36"/>
    </row>
    <row r="66" spans="1:11">
      <c r="A66" s="89">
        <v>53</v>
      </c>
      <c r="B66" s="90" t="s">
        <v>13</v>
      </c>
      <c r="C66" s="91"/>
      <c r="D66" s="92"/>
      <c r="E66" s="89"/>
      <c r="F66" s="93"/>
      <c r="G66" s="36"/>
      <c r="H66" s="36"/>
      <c r="I66" s="36"/>
      <c r="J66" s="36"/>
      <c r="K66" s="36"/>
    </row>
    <row r="67" spans="1:11">
      <c r="A67" s="89">
        <v>54</v>
      </c>
      <c r="B67" s="90" t="s">
        <v>13</v>
      </c>
      <c r="C67" s="91"/>
      <c r="D67" s="92"/>
      <c r="E67" s="89"/>
      <c r="F67" s="93"/>
      <c r="G67" s="36"/>
      <c r="H67" s="36"/>
      <c r="I67" s="36"/>
      <c r="J67" s="36"/>
      <c r="K67" s="36"/>
    </row>
    <row r="68" spans="1:11">
      <c r="A68" s="89">
        <v>55</v>
      </c>
      <c r="B68" s="90" t="s">
        <v>13</v>
      </c>
      <c r="C68" s="91"/>
      <c r="D68" s="92"/>
      <c r="E68" s="89"/>
      <c r="F68" s="93"/>
      <c r="G68" s="36"/>
      <c r="H68" s="36"/>
      <c r="I68" s="36"/>
      <c r="J68" s="36"/>
      <c r="K68" s="36"/>
    </row>
    <row r="69" spans="1:11">
      <c r="A69" s="89">
        <v>56</v>
      </c>
      <c r="B69" s="90" t="s">
        <v>13</v>
      </c>
      <c r="C69" s="91"/>
      <c r="D69" s="92"/>
      <c r="E69" s="89"/>
      <c r="F69" s="93"/>
      <c r="G69" s="36"/>
      <c r="H69" s="36"/>
      <c r="I69" s="36"/>
      <c r="J69" s="36"/>
      <c r="K69" s="36"/>
    </row>
    <row r="70" spans="1:11">
      <c r="A70" s="89">
        <v>57</v>
      </c>
      <c r="B70" s="90" t="s">
        <v>13</v>
      </c>
      <c r="C70" s="91"/>
      <c r="D70" s="92"/>
      <c r="E70" s="89"/>
      <c r="F70" s="93"/>
      <c r="G70" s="36"/>
      <c r="H70" s="36"/>
      <c r="I70" s="36"/>
      <c r="J70" s="36"/>
      <c r="K70" s="36"/>
    </row>
    <row r="71" spans="1:11">
      <c r="A71" s="89">
        <v>58</v>
      </c>
      <c r="B71" s="90" t="s">
        <v>13</v>
      </c>
      <c r="C71" s="91"/>
      <c r="D71" s="92"/>
      <c r="E71" s="89"/>
      <c r="F71" s="93"/>
      <c r="G71" s="36"/>
      <c r="H71" s="36"/>
      <c r="I71" s="36"/>
      <c r="J71" s="36"/>
      <c r="K71" s="36"/>
    </row>
    <row r="72" spans="1:11">
      <c r="A72" s="89">
        <v>59</v>
      </c>
      <c r="B72" s="90" t="s">
        <v>13</v>
      </c>
      <c r="C72" s="91"/>
      <c r="D72" s="92"/>
      <c r="E72" s="89"/>
      <c r="F72" s="93"/>
      <c r="G72" s="36"/>
      <c r="H72" s="36"/>
      <c r="I72" s="36"/>
      <c r="J72" s="36"/>
      <c r="K72" s="36"/>
    </row>
    <row r="73" spans="1:11">
      <c r="A73" s="89">
        <v>60</v>
      </c>
      <c r="B73" s="90" t="s">
        <v>13</v>
      </c>
      <c r="C73" s="91"/>
      <c r="D73" s="92"/>
      <c r="E73" s="89"/>
      <c r="F73" s="93"/>
      <c r="G73" s="36"/>
      <c r="H73" s="36"/>
      <c r="I73" s="36"/>
      <c r="J73" s="36"/>
      <c r="K73" s="36"/>
    </row>
    <row r="74" spans="1:11">
      <c r="A74" s="89">
        <v>61</v>
      </c>
      <c r="B74" s="90" t="s">
        <v>13</v>
      </c>
      <c r="C74" s="91"/>
      <c r="D74" s="92"/>
      <c r="E74" s="89"/>
      <c r="F74" s="93"/>
      <c r="G74" s="36"/>
      <c r="H74" s="36"/>
      <c r="I74" s="36"/>
      <c r="J74" s="36"/>
      <c r="K74" s="36"/>
    </row>
    <row r="75" spans="1:11">
      <c r="A75" s="89">
        <v>62</v>
      </c>
      <c r="B75" s="90" t="s">
        <v>13</v>
      </c>
      <c r="C75" s="91"/>
      <c r="D75" s="92"/>
      <c r="E75" s="89"/>
      <c r="F75" s="93"/>
      <c r="G75" s="36"/>
      <c r="H75" s="36"/>
      <c r="I75" s="36"/>
      <c r="J75" s="36"/>
      <c r="K75" s="36"/>
    </row>
    <row r="76" spans="1:11">
      <c r="A76" s="89">
        <v>63</v>
      </c>
      <c r="B76" s="90" t="s">
        <v>13</v>
      </c>
      <c r="C76" s="91"/>
      <c r="D76" s="92"/>
      <c r="E76" s="89"/>
      <c r="F76" s="93"/>
      <c r="G76" s="36"/>
      <c r="H76" s="36"/>
      <c r="I76" s="36"/>
      <c r="J76" s="36"/>
      <c r="K76" s="36"/>
    </row>
    <row r="77" spans="1:11">
      <c r="A77" s="89">
        <v>64</v>
      </c>
      <c r="B77" s="90" t="s">
        <v>13</v>
      </c>
      <c r="C77" s="91"/>
      <c r="D77" s="92"/>
      <c r="E77" s="89"/>
      <c r="F77" s="93"/>
      <c r="G77" s="36"/>
      <c r="H77" s="36"/>
      <c r="I77" s="36"/>
      <c r="J77" s="36"/>
      <c r="K77" s="36"/>
    </row>
    <row r="78" spans="1:11">
      <c r="A78" s="89">
        <v>65</v>
      </c>
      <c r="B78" s="90" t="s">
        <v>13</v>
      </c>
      <c r="C78" s="91"/>
      <c r="D78" s="92"/>
      <c r="E78" s="89"/>
      <c r="F78" s="93"/>
      <c r="G78" s="36"/>
      <c r="H78" s="36"/>
      <c r="I78" s="36"/>
      <c r="J78" s="36"/>
      <c r="K78" s="36"/>
    </row>
    <row r="79" spans="1:11">
      <c r="A79" s="89">
        <v>66</v>
      </c>
      <c r="B79" s="90" t="s">
        <v>13</v>
      </c>
      <c r="C79" s="91"/>
      <c r="D79" s="92"/>
      <c r="E79" s="89"/>
      <c r="F79" s="93"/>
      <c r="G79" s="36"/>
      <c r="H79" s="36"/>
      <c r="I79" s="36"/>
      <c r="J79" s="36"/>
      <c r="K79" s="36"/>
    </row>
    <row r="80" spans="1:11">
      <c r="A80" s="89">
        <v>67</v>
      </c>
      <c r="B80" s="90" t="s">
        <v>13</v>
      </c>
      <c r="C80" s="91"/>
      <c r="D80" s="92"/>
      <c r="E80" s="89"/>
      <c r="F80" s="93"/>
      <c r="G80" s="36"/>
      <c r="H80" s="36"/>
      <c r="I80" s="36"/>
      <c r="J80" s="36"/>
      <c r="K80" s="36"/>
    </row>
    <row r="81" spans="1:11">
      <c r="A81" s="89">
        <v>68</v>
      </c>
      <c r="B81" s="90" t="s">
        <v>13</v>
      </c>
      <c r="C81" s="91"/>
      <c r="D81" s="92"/>
      <c r="E81" s="89"/>
      <c r="F81" s="93"/>
      <c r="G81" s="36"/>
      <c r="H81" s="36"/>
      <c r="I81" s="36"/>
      <c r="J81" s="36"/>
      <c r="K81" s="36"/>
    </row>
    <row r="82" spans="1:11">
      <c r="A82" s="89">
        <v>69</v>
      </c>
      <c r="B82" s="90" t="s">
        <v>13</v>
      </c>
      <c r="C82" s="91"/>
      <c r="D82" s="92"/>
      <c r="E82" s="89"/>
      <c r="F82" s="93"/>
      <c r="G82" s="36"/>
      <c r="H82" s="36"/>
      <c r="I82" s="36"/>
      <c r="J82" s="36"/>
      <c r="K82" s="36"/>
    </row>
    <row r="83" spans="1:11">
      <c r="A83" s="89">
        <v>70</v>
      </c>
      <c r="B83" s="90" t="s">
        <v>13</v>
      </c>
      <c r="C83" s="91"/>
      <c r="D83" s="92"/>
      <c r="E83" s="89"/>
      <c r="F83" s="93"/>
      <c r="G83" s="36"/>
      <c r="H83" s="36"/>
      <c r="I83" s="36"/>
      <c r="J83" s="36"/>
      <c r="K83" s="36"/>
    </row>
    <row r="84" spans="1:11">
      <c r="A84" s="89">
        <v>71</v>
      </c>
      <c r="B84" s="90" t="s">
        <v>13</v>
      </c>
      <c r="C84" s="91"/>
      <c r="D84" s="92"/>
      <c r="E84" s="89"/>
      <c r="F84" s="93"/>
      <c r="G84" s="36"/>
      <c r="H84" s="36"/>
      <c r="I84" s="36"/>
      <c r="J84" s="36"/>
      <c r="K84" s="36"/>
    </row>
    <row r="85" spans="1:11">
      <c r="A85" s="89">
        <v>72</v>
      </c>
      <c r="B85" s="90" t="s">
        <v>13</v>
      </c>
      <c r="C85" s="91"/>
      <c r="D85" s="92"/>
      <c r="E85" s="89"/>
      <c r="F85" s="93"/>
      <c r="G85" s="36"/>
      <c r="H85" s="36"/>
      <c r="I85" s="36"/>
      <c r="J85" s="36"/>
      <c r="K85" s="36"/>
    </row>
    <row r="86" spans="1:11">
      <c r="A86" s="89">
        <v>73</v>
      </c>
      <c r="B86" s="90" t="s">
        <v>13</v>
      </c>
      <c r="C86" s="91"/>
      <c r="D86" s="92"/>
      <c r="E86" s="89"/>
      <c r="F86" s="93"/>
      <c r="G86" s="36"/>
      <c r="H86" s="36"/>
      <c r="I86" s="36"/>
      <c r="J86" s="36"/>
      <c r="K86" s="36"/>
    </row>
    <row r="87" spans="1:11">
      <c r="A87" s="89">
        <v>74</v>
      </c>
      <c r="B87" s="90" t="s">
        <v>13</v>
      </c>
      <c r="C87" s="91"/>
      <c r="D87" s="92"/>
      <c r="E87" s="89"/>
      <c r="F87" s="93"/>
      <c r="G87" s="36"/>
      <c r="H87" s="36"/>
      <c r="I87" s="36"/>
      <c r="J87" s="36"/>
      <c r="K87" s="36"/>
    </row>
    <row r="88" spans="1:11">
      <c r="A88" s="89">
        <v>75</v>
      </c>
      <c r="B88" s="90" t="s">
        <v>13</v>
      </c>
      <c r="C88" s="91"/>
      <c r="D88" s="92"/>
      <c r="E88" s="89"/>
      <c r="F88" s="93"/>
      <c r="G88" s="36"/>
      <c r="H88" s="36"/>
      <c r="I88" s="36"/>
      <c r="J88" s="36"/>
      <c r="K88" s="36"/>
    </row>
    <row r="89" spans="1:11">
      <c r="A89" s="89">
        <v>76</v>
      </c>
      <c r="B89" s="90" t="s">
        <v>13</v>
      </c>
      <c r="C89" s="91"/>
      <c r="D89" s="92"/>
      <c r="E89" s="89"/>
      <c r="F89" s="93"/>
      <c r="G89" s="36"/>
      <c r="H89" s="36"/>
      <c r="I89" s="36"/>
      <c r="J89" s="36"/>
      <c r="K89" s="36"/>
    </row>
    <row r="90" spans="1:11">
      <c r="A90" s="89">
        <v>77</v>
      </c>
      <c r="B90" s="90" t="s">
        <v>13</v>
      </c>
      <c r="C90" s="91"/>
      <c r="D90" s="92"/>
      <c r="E90" s="89"/>
      <c r="F90" s="93"/>
      <c r="G90" s="36"/>
      <c r="H90" s="36"/>
      <c r="I90" s="36"/>
      <c r="J90" s="36"/>
      <c r="K90" s="36"/>
    </row>
    <row r="91" spans="1:11">
      <c r="A91" s="89">
        <v>78</v>
      </c>
      <c r="B91" s="90" t="s">
        <v>13</v>
      </c>
      <c r="C91" s="91"/>
      <c r="D91" s="92"/>
      <c r="E91" s="89"/>
      <c r="F91" s="93"/>
      <c r="G91" s="36"/>
      <c r="H91" s="36"/>
      <c r="I91" s="36"/>
      <c r="J91" s="36"/>
      <c r="K91" s="36"/>
    </row>
    <row r="92" spans="1:11">
      <c r="A92" s="89">
        <v>79</v>
      </c>
      <c r="B92" s="90" t="s">
        <v>13</v>
      </c>
      <c r="C92" s="91"/>
      <c r="D92" s="92"/>
      <c r="E92" s="89"/>
      <c r="F92" s="93"/>
      <c r="G92" s="36"/>
      <c r="H92" s="36"/>
      <c r="I92" s="36"/>
      <c r="J92" s="36"/>
      <c r="K92" s="36"/>
    </row>
    <row r="93" spans="1:11">
      <c r="A93" s="89">
        <v>80</v>
      </c>
      <c r="B93" s="90" t="s">
        <v>13</v>
      </c>
      <c r="C93" s="91"/>
      <c r="D93" s="94"/>
      <c r="E93" s="89"/>
      <c r="F93" s="93"/>
      <c r="G93" s="36"/>
      <c r="H93" s="36"/>
      <c r="I93" s="36"/>
      <c r="J93" s="36"/>
      <c r="K93" s="36"/>
    </row>
    <row r="94" spans="1:11">
      <c r="G94" s="37" t="s">
        <v>18</v>
      </c>
      <c r="H94" s="147" t="s">
        <v>146</v>
      </c>
      <c r="I94" s="32">
        <f>SUM(I14:I93)</f>
        <v>0</v>
      </c>
      <c r="J94" s="32">
        <f>SUM(J14:J93)</f>
        <v>2</v>
      </c>
      <c r="K94" s="32">
        <f>SUM(K14:K93)</f>
        <v>16</v>
      </c>
    </row>
    <row r="95" spans="1:11">
      <c r="G95" s="37" t="s">
        <v>19</v>
      </c>
      <c r="H95" s="148"/>
      <c r="I95" s="32">
        <f>IF($E$13=0,0,(I94*100)/$E$13)</f>
        <v>0</v>
      </c>
      <c r="J95" s="32">
        <f>IF($E$13=0,0,(J94*100)/$E$13)</f>
        <v>6.666666666666667</v>
      </c>
      <c r="K95" s="32">
        <f>IF($E$13=0,0,(K94*100)/$E$13)</f>
        <v>53.333333333333336</v>
      </c>
    </row>
    <row r="96" spans="1:11" ht="15.75">
      <c r="G96" s="23" t="s">
        <v>20</v>
      </c>
      <c r="H96" s="149"/>
      <c r="I96" s="144">
        <f>IF(H13=0,"NOT APPLICABLE",ROUND((I95+2*J95+3*K95)/3,2))</f>
        <v>57.78</v>
      </c>
      <c r="J96" s="145"/>
      <c r="K96" s="146"/>
    </row>
  </sheetData>
  <protectedRanges>
    <protectedRange sqref="F13" name="Range2"/>
    <protectedRange sqref="A14:F93" name="Range1"/>
  </protectedRanges>
  <mergeCells count="26">
    <mergeCell ref="A1:K1"/>
    <mergeCell ref="A2:K2"/>
    <mergeCell ref="A7:C7"/>
    <mergeCell ref="A8:C8"/>
    <mergeCell ref="D4:K4"/>
    <mergeCell ref="D5:K5"/>
    <mergeCell ref="D6:K6"/>
    <mergeCell ref="D7:K7"/>
    <mergeCell ref="D8:K8"/>
    <mergeCell ref="A4:C4"/>
    <mergeCell ref="A5:C5"/>
    <mergeCell ref="A6:C6"/>
    <mergeCell ref="A3:D3"/>
    <mergeCell ref="E3:J3"/>
    <mergeCell ref="A13:D13"/>
    <mergeCell ref="I96:K96"/>
    <mergeCell ref="H94:H96"/>
    <mergeCell ref="H11:K11"/>
    <mergeCell ref="G9:G12"/>
    <mergeCell ref="H9:K10"/>
    <mergeCell ref="F11:F12"/>
    <mergeCell ref="A9:A12"/>
    <mergeCell ref="B9:B12"/>
    <mergeCell ref="C9:C12"/>
    <mergeCell ref="D9:D12"/>
    <mergeCell ref="E9:E12"/>
  </mergeCells>
  <conditionalFormatting sqref="A14:A93 E14:K93">
    <cfRule type="expression" dxfId="18" priority="14">
      <formula>$E14="A"</formula>
    </cfRule>
  </conditionalFormatting>
  <conditionalFormatting sqref="I94:K95">
    <cfRule type="expression" dxfId="17" priority="13">
      <formula>$E94="A"</formula>
    </cfRule>
  </conditionalFormatting>
  <conditionalFormatting sqref="G14">
    <cfRule type="expression" dxfId="16" priority="41">
      <formula>$G14:$G94="ERROR"</formula>
    </cfRule>
  </conditionalFormatting>
  <conditionalFormatting sqref="B14:D93">
    <cfRule type="expression" dxfId="15" priority="2">
      <formula>$E14="A"</formula>
    </cfRule>
  </conditionalFormatting>
  <conditionalFormatting sqref="B14:D93">
    <cfRule type="expression" dxfId="14" priority="1">
      <formula>$E14="A"</formula>
    </cfRule>
  </conditionalFormatting>
  <conditionalFormatting sqref="G15:G93">
    <cfRule type="expression" dxfId="13" priority="44">
      <formula>$G15:$G94="ERROR"</formula>
    </cfRule>
  </conditionalFormatting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7"/>
  <sheetViews>
    <sheetView zoomScale="85" zoomScaleNormal="85" workbookViewId="0">
      <selection activeCell="D15" sqref="D15"/>
    </sheetView>
  </sheetViews>
  <sheetFormatPr defaultRowHeight="15"/>
  <cols>
    <col min="1" max="1" width="5.7109375" style="16" bestFit="1" customWidth="1"/>
    <col min="2" max="2" width="5.7109375" style="16" customWidth="1"/>
    <col min="3" max="3" width="12.5703125" style="16" customWidth="1"/>
    <col min="4" max="4" width="25.85546875" style="16" bestFit="1" customWidth="1"/>
    <col min="5" max="5" width="8.5703125" style="22" customWidth="1"/>
    <col min="6" max="10" width="8.85546875" style="16" customWidth="1"/>
    <col min="11" max="15" width="16.140625" style="16" customWidth="1"/>
    <col min="16" max="16384" width="9.140625" style="16"/>
  </cols>
  <sheetData>
    <row r="1" spans="1:23" ht="18.75">
      <c r="A1" s="184" t="s">
        <v>148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</row>
    <row r="2" spans="1:23" ht="18.75">
      <c r="A2" s="184" t="s">
        <v>149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</row>
    <row r="3" spans="1:23" s="17" customFormat="1" ht="36" customHeight="1">
      <c r="A3" s="177" t="str">
        <f>'DATA INPUT SHEET'!A3:E3</f>
        <v>Semester: III</v>
      </c>
      <c r="B3" s="177"/>
      <c r="C3" s="177"/>
      <c r="D3" s="177"/>
      <c r="E3" s="186" t="str">
        <f>'DATA INPUT SHEET'!E3:Q3</f>
        <v>Name of the Faculty: Dr. Prateek Gangwar</v>
      </c>
      <c r="F3" s="186"/>
      <c r="G3" s="186"/>
      <c r="H3" s="186"/>
      <c r="I3" s="186"/>
      <c r="J3" s="186"/>
      <c r="K3" s="186"/>
      <c r="L3" s="186"/>
      <c r="M3" s="186"/>
      <c r="N3" s="186"/>
      <c r="O3" s="186"/>
    </row>
    <row r="4" spans="1:23" ht="49.5" customHeight="1">
      <c r="A4" s="184" t="str">
        <f>'DATA INPUT SHEET'!A4:E4</f>
        <v>Subject Code: BME-303</v>
      </c>
      <c r="B4" s="184"/>
      <c r="C4" s="184"/>
      <c r="D4" s="184"/>
      <c r="E4" s="184"/>
      <c r="F4" s="184"/>
      <c r="G4" s="184"/>
      <c r="H4" s="164" t="str">
        <f>'DATA INPUT SHEET'!K4</f>
        <v>Subject Name:Materials Engineering</v>
      </c>
      <c r="I4" s="165"/>
      <c r="J4" s="165"/>
      <c r="K4" s="165"/>
      <c r="L4" s="165"/>
      <c r="M4" s="165"/>
      <c r="N4" s="165"/>
      <c r="O4" s="166"/>
    </row>
    <row r="5" spans="1:23" ht="39.75" customHeight="1">
      <c r="A5" s="181" t="str">
        <f>'DATA INPUT SHEET'!A9:C9</f>
        <v>CO1</v>
      </c>
      <c r="B5" s="181"/>
      <c r="C5" s="181"/>
      <c r="D5" s="182" t="str">
        <f>'DATA INPUT SHEET'!D9</f>
        <v>Student will be able to identify crystal structures for various materials and understand the defects in such structures</v>
      </c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23" s="17" customFormat="1" ht="30" customHeight="1">
      <c r="A6" s="181" t="str">
        <f>'DATA INPUT SHEET'!A10:C10</f>
        <v>CO2</v>
      </c>
      <c r="B6" s="181"/>
      <c r="C6" s="181"/>
      <c r="D6" s="182" t="str">
        <f>'DATA INPUT SHEET'!D10:Q10</f>
        <v>Understand how to tailor material properties of ferrous and non-ferrous alloys.</v>
      </c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</row>
    <row r="7" spans="1:23" ht="30" customHeight="1">
      <c r="A7" s="181" t="str">
        <f>'DATA INPUT SHEET'!A11:C11</f>
        <v>CO3</v>
      </c>
      <c r="B7" s="181"/>
      <c r="C7" s="181"/>
      <c r="D7" s="182" t="str">
        <f>'DATA INPUT SHEET'!D11:Q11</f>
        <v>To understand method of Grinding &amp; Superfinishing for betterment of the manufacturing product.</v>
      </c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</row>
    <row r="8" spans="1:23" ht="30" customHeight="1">
      <c r="A8" s="181" t="str">
        <f>'DATA INPUT SHEET'!A12:C12</f>
        <v>CO4</v>
      </c>
      <c r="B8" s="181"/>
      <c r="C8" s="181"/>
      <c r="D8" s="182" t="str">
        <f>'DATA INPUT SHEET'!D12:Q12</f>
        <v>To learn various hardness test.</v>
      </c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</row>
    <row r="9" spans="1:23" ht="30" customHeight="1">
      <c r="A9" s="181" t="str">
        <f>'DATA INPUT SHEET'!A13:C13</f>
        <v>CO5</v>
      </c>
      <c r="B9" s="181"/>
      <c r="C9" s="181"/>
      <c r="D9" s="182" t="str">
        <f>'DATA INPUT SHEET'!D13:Q13</f>
        <v>Basic knowledge of NDT.</v>
      </c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S9" s="24"/>
      <c r="T9" s="24"/>
      <c r="U9" s="24"/>
      <c r="V9" s="24"/>
      <c r="W9" s="24"/>
    </row>
    <row r="10" spans="1:23">
      <c r="A10" s="179"/>
      <c r="B10" s="179"/>
      <c r="C10" s="179"/>
      <c r="D10" s="179"/>
      <c r="E10" s="179"/>
      <c r="F10" s="185" t="s">
        <v>138</v>
      </c>
      <c r="G10" s="185"/>
      <c r="H10" s="185"/>
      <c r="I10" s="185"/>
      <c r="J10" s="185"/>
      <c r="K10" s="38" t="s">
        <v>133</v>
      </c>
      <c r="L10" s="38" t="s">
        <v>134</v>
      </c>
      <c r="M10" s="38" t="s">
        <v>135</v>
      </c>
      <c r="N10" s="38" t="s">
        <v>136</v>
      </c>
      <c r="O10" s="38" t="s">
        <v>137</v>
      </c>
    </row>
    <row r="11" spans="1:23" ht="15" customHeight="1">
      <c r="A11" s="179"/>
      <c r="B11" s="179"/>
      <c r="C11" s="179"/>
      <c r="D11" s="179"/>
      <c r="E11" s="179"/>
      <c r="F11" s="20" t="s">
        <v>3</v>
      </c>
      <c r="G11" s="20" t="s">
        <v>4</v>
      </c>
      <c r="H11" s="20" t="s">
        <v>5</v>
      </c>
      <c r="I11" s="20" t="s">
        <v>7</v>
      </c>
      <c r="J11" s="20" t="s">
        <v>8</v>
      </c>
      <c r="K11" s="180" t="str">
        <f>IF(F$12="NA","NOT APPLICABLE","APPLICABLE")</f>
        <v>APPLICABLE</v>
      </c>
      <c r="L11" s="180" t="str">
        <f>IF(G$12="NA","NOT APPLICABLE","APPLICABLE")</f>
        <v>APPLICABLE</v>
      </c>
      <c r="M11" s="180" t="str">
        <f>IF(H$12="NA","NOT APPLICABLE","APPLICABLE")</f>
        <v>APPLICABLE</v>
      </c>
      <c r="N11" s="180" t="str">
        <f>IF(I$12="NA","NOT APPLICABLE","APPLICABLE")</f>
        <v>APPLICABLE</v>
      </c>
      <c r="O11" s="180" t="str">
        <f>IF(J$12="NA","NOT APPLICABLE","APPLICABLE")</f>
        <v>APPLICABLE</v>
      </c>
    </row>
    <row r="12" spans="1:23">
      <c r="A12" s="179"/>
      <c r="B12" s="179"/>
      <c r="C12" s="179"/>
      <c r="D12" s="179"/>
      <c r="E12" s="179"/>
      <c r="F12" s="20" t="str">
        <f>INDEX('DATA INPUT SHEET'!$C$18:$C$22,MATCH('Student Feedback Analysis'!$F$11:$J$11,'DATA INPUT SHEET'!$B$18:$B$22,0))</f>
        <v>A</v>
      </c>
      <c r="G12" s="20" t="str">
        <f>INDEX('DATA INPUT SHEET'!$C$18:$C$22,MATCH('Student Feedback Analysis'!$F$11:$J$11,'DATA INPUT SHEET'!$B$18:$B$22,0))</f>
        <v>A</v>
      </c>
      <c r="H12" s="20" t="str">
        <f>INDEX('DATA INPUT SHEET'!$C$18:$C$22,MATCH('Student Feedback Analysis'!$F$11:$J$11,'DATA INPUT SHEET'!$B$18:$B$22,0))</f>
        <v>A</v>
      </c>
      <c r="I12" s="20" t="str">
        <f>INDEX('DATA INPUT SHEET'!$C$18:$C$22,MATCH('Student Feedback Analysis'!$F$11:$J$11,'DATA INPUT SHEET'!$B$18:$B$22,0))</f>
        <v>A</v>
      </c>
      <c r="J12" s="20" t="str">
        <f>INDEX('DATA INPUT SHEET'!$C$18:$C$22,MATCH('Student Feedback Analysis'!$F$11:$J$11,'DATA INPUT SHEET'!$B$18:$B$22,0))</f>
        <v>A</v>
      </c>
      <c r="K12" s="180"/>
      <c r="L12" s="180"/>
      <c r="M12" s="180"/>
      <c r="N12" s="180"/>
      <c r="O12" s="180"/>
    </row>
    <row r="13" spans="1:23" ht="27.75" customHeight="1">
      <c r="C13" s="25" t="s">
        <v>144</v>
      </c>
      <c r="D13" s="96">
        <v>30</v>
      </c>
      <c r="F13" s="183" t="s">
        <v>140</v>
      </c>
      <c r="G13" s="183"/>
      <c r="H13" s="183"/>
      <c r="I13" s="183"/>
      <c r="J13" s="183"/>
      <c r="K13" s="97">
        <v>25</v>
      </c>
      <c r="L13" s="98">
        <v>33</v>
      </c>
      <c r="M13" s="99">
        <v>34</v>
      </c>
      <c r="N13" s="99">
        <v>30</v>
      </c>
      <c r="O13" s="99">
        <v>32</v>
      </c>
    </row>
    <row r="14" spans="1:23" ht="27.75" customHeight="1">
      <c r="F14" s="183" t="s">
        <v>141</v>
      </c>
      <c r="G14" s="183"/>
      <c r="H14" s="183"/>
      <c r="I14" s="183"/>
      <c r="J14" s="183"/>
      <c r="K14" s="97">
        <v>25</v>
      </c>
      <c r="L14" s="99">
        <v>20</v>
      </c>
      <c r="M14" s="99">
        <v>17</v>
      </c>
      <c r="N14" s="99">
        <v>18</v>
      </c>
      <c r="O14" s="99">
        <v>19</v>
      </c>
    </row>
    <row r="15" spans="1:23" ht="27.75" customHeight="1">
      <c r="F15" s="183" t="s">
        <v>142</v>
      </c>
      <c r="G15" s="183"/>
      <c r="H15" s="183"/>
      <c r="I15" s="183"/>
      <c r="J15" s="183"/>
      <c r="K15" s="97">
        <v>6</v>
      </c>
      <c r="L15" s="99">
        <v>3</v>
      </c>
      <c r="M15" s="99">
        <v>6</v>
      </c>
      <c r="N15" s="99">
        <v>9</v>
      </c>
      <c r="O15" s="99">
        <v>5</v>
      </c>
    </row>
    <row r="16" spans="1:23" ht="27.75" customHeight="1">
      <c r="F16" s="183" t="s">
        <v>143</v>
      </c>
      <c r="G16" s="183"/>
      <c r="H16" s="183"/>
      <c r="I16" s="183"/>
      <c r="J16" s="183"/>
      <c r="K16" s="100">
        <v>1</v>
      </c>
      <c r="L16" s="98">
        <v>1</v>
      </c>
      <c r="M16" s="98">
        <v>0</v>
      </c>
      <c r="N16" s="98">
        <v>0</v>
      </c>
      <c r="O16" s="98">
        <v>1</v>
      </c>
    </row>
    <row r="17" spans="11:15">
      <c r="K17" s="21">
        <f>K13+K14+K15+K16</f>
        <v>57</v>
      </c>
      <c r="L17" s="21">
        <f>L13+L14+L15+L16</f>
        <v>57</v>
      </c>
      <c r="M17" s="21">
        <f>M13+M14+M15+M16</f>
        <v>57</v>
      </c>
      <c r="N17" s="21">
        <f>N13+N14+N15+N16</f>
        <v>57</v>
      </c>
      <c r="O17" s="21">
        <f>O13+O14+O15+O16</f>
        <v>57</v>
      </c>
    </row>
  </sheetData>
  <protectedRanges>
    <protectedRange sqref="A13:O16" name="Range1"/>
  </protectedRanges>
  <mergeCells count="31">
    <mergeCell ref="A1:O1"/>
    <mergeCell ref="A2:O2"/>
    <mergeCell ref="F10:J10"/>
    <mergeCell ref="A5:C5"/>
    <mergeCell ref="D5:O5"/>
    <mergeCell ref="D9:O9"/>
    <mergeCell ref="A10:A12"/>
    <mergeCell ref="D6:O6"/>
    <mergeCell ref="A9:C9"/>
    <mergeCell ref="A6:C6"/>
    <mergeCell ref="A3:D3"/>
    <mergeCell ref="E3:O3"/>
    <mergeCell ref="A4:G4"/>
    <mergeCell ref="H4:O4"/>
    <mergeCell ref="A7:C7"/>
    <mergeCell ref="D7:O7"/>
    <mergeCell ref="F16:J16"/>
    <mergeCell ref="K11:K12"/>
    <mergeCell ref="L11:L12"/>
    <mergeCell ref="N11:N12"/>
    <mergeCell ref="F13:J13"/>
    <mergeCell ref="F14:J14"/>
    <mergeCell ref="F15:J15"/>
    <mergeCell ref="C10:C12"/>
    <mergeCell ref="B10:B12"/>
    <mergeCell ref="E10:E12"/>
    <mergeCell ref="M11:M12"/>
    <mergeCell ref="A8:C8"/>
    <mergeCell ref="D8:O8"/>
    <mergeCell ref="O11:O12"/>
    <mergeCell ref="D10:D12"/>
  </mergeCells>
  <conditionalFormatting sqref="K13:K16">
    <cfRule type="expression" dxfId="12" priority="16">
      <formula>$E13="A"</formula>
    </cfRule>
  </conditionalFormatting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96"/>
  <sheetViews>
    <sheetView topLeftCell="A6" zoomScale="85" zoomScaleNormal="85" workbookViewId="0">
      <selection activeCell="H19" sqref="H19"/>
    </sheetView>
  </sheetViews>
  <sheetFormatPr defaultRowHeight="15"/>
  <cols>
    <col min="1" max="1" width="5.7109375" style="16" bestFit="1" customWidth="1"/>
    <col min="2" max="2" width="5.7109375" style="16" customWidth="1"/>
    <col min="3" max="3" width="25.7109375" style="16" customWidth="1"/>
    <col min="4" max="4" width="38.42578125" style="16" customWidth="1"/>
    <col min="5" max="5" width="8.5703125" style="22" customWidth="1"/>
    <col min="6" max="6" width="10.85546875" style="22" customWidth="1"/>
    <col min="7" max="7" width="17.140625" style="16" bestFit="1" customWidth="1"/>
    <col min="8" max="10" width="17.140625" style="16" customWidth="1"/>
    <col min="11" max="16384" width="9.140625" style="16"/>
  </cols>
  <sheetData>
    <row r="1" spans="1:10" ht="18.75">
      <c r="A1" s="164" t="s">
        <v>148</v>
      </c>
      <c r="B1" s="165"/>
      <c r="C1" s="165"/>
      <c r="D1" s="165"/>
      <c r="E1" s="165"/>
      <c r="F1" s="165"/>
      <c r="G1" s="165"/>
      <c r="H1" s="165"/>
      <c r="I1" s="165"/>
      <c r="J1" s="165"/>
    </row>
    <row r="2" spans="1:10" ht="18.75">
      <c r="A2" s="184" t="s">
        <v>23</v>
      </c>
      <c r="B2" s="184"/>
      <c r="C2" s="184"/>
      <c r="D2" s="184"/>
      <c r="E2" s="184"/>
      <c r="F2" s="184"/>
      <c r="G2" s="184"/>
      <c r="H2" s="184"/>
      <c r="I2" s="184"/>
      <c r="J2" s="184"/>
    </row>
    <row r="3" spans="1:10" s="17" customFormat="1" ht="36" customHeight="1">
      <c r="A3" s="177" t="str">
        <f>'DATA INPUT SHEET'!A3:E3</f>
        <v>Semester: III</v>
      </c>
      <c r="B3" s="177"/>
      <c r="C3" s="177"/>
      <c r="D3" s="177"/>
      <c r="E3" s="186" t="str">
        <f>'DATA INPUT SHEET'!E3:Q3</f>
        <v>Name of the Faculty: Dr. Prateek Gangwar</v>
      </c>
      <c r="F3" s="186"/>
      <c r="G3" s="186"/>
      <c r="H3" s="186"/>
      <c r="I3" s="186"/>
      <c r="J3" s="186"/>
    </row>
    <row r="4" spans="1:10" ht="40.5" customHeight="1">
      <c r="A4" s="184" t="str">
        <f>'DATA INPUT SHEET'!A4:E4</f>
        <v>Subject Code: BME-303</v>
      </c>
      <c r="B4" s="184"/>
      <c r="C4" s="184"/>
      <c r="D4" s="184"/>
      <c r="E4" s="164" t="str">
        <f>'DATA INPUT SHEET'!K4</f>
        <v>Subject Name:Materials Engineering</v>
      </c>
      <c r="F4" s="165"/>
      <c r="G4" s="165"/>
      <c r="H4" s="165"/>
      <c r="I4" s="165"/>
      <c r="J4" s="166"/>
    </row>
    <row r="5" spans="1:10" ht="30" customHeight="1">
      <c r="A5" s="187" t="str">
        <f>'DATA INPUT SHEET'!A9:C9</f>
        <v>CO1</v>
      </c>
      <c r="B5" s="187"/>
      <c r="C5" s="188"/>
      <c r="D5" s="189" t="str">
        <f>'DATA INPUT SHEET'!D9:Q9</f>
        <v>Student will be able to identify crystal structures for various materials and understand the defects in such structures</v>
      </c>
      <c r="E5" s="189"/>
      <c r="F5" s="189"/>
      <c r="G5" s="189"/>
      <c r="H5" s="189"/>
      <c r="I5" s="189"/>
      <c r="J5" s="189"/>
    </row>
    <row r="6" spans="1:10" ht="30" customHeight="1">
      <c r="A6" s="187" t="str">
        <f>'DATA INPUT SHEET'!A10:C10</f>
        <v>CO2</v>
      </c>
      <c r="B6" s="187"/>
      <c r="C6" s="188"/>
      <c r="D6" s="189" t="str">
        <f>'DATA INPUT SHEET'!D10:Q10</f>
        <v>Understand how to tailor material properties of ferrous and non-ferrous alloys.</v>
      </c>
      <c r="E6" s="189"/>
      <c r="F6" s="189"/>
      <c r="G6" s="189"/>
      <c r="H6" s="189"/>
      <c r="I6" s="189"/>
      <c r="J6" s="189"/>
    </row>
    <row r="7" spans="1:10" ht="30" customHeight="1">
      <c r="A7" s="187" t="str">
        <f>'DATA INPUT SHEET'!A11:C11</f>
        <v>CO3</v>
      </c>
      <c r="B7" s="187"/>
      <c r="C7" s="188"/>
      <c r="D7" s="189" t="str">
        <f>'DATA INPUT SHEET'!D11:Q11</f>
        <v>To understand method of Grinding &amp; Superfinishing for betterment of the manufacturing product.</v>
      </c>
      <c r="E7" s="189"/>
      <c r="F7" s="189"/>
      <c r="G7" s="189"/>
      <c r="H7" s="189"/>
      <c r="I7" s="189"/>
      <c r="J7" s="189"/>
    </row>
    <row r="8" spans="1:10" ht="30" customHeight="1">
      <c r="A8" s="187" t="str">
        <f>'DATA INPUT SHEET'!A12:C12</f>
        <v>CO4</v>
      </c>
      <c r="B8" s="187"/>
      <c r="C8" s="188"/>
      <c r="D8" s="189" t="str">
        <f>'DATA INPUT SHEET'!D12:Q12</f>
        <v>To learn various hardness test.</v>
      </c>
      <c r="E8" s="189"/>
      <c r="F8" s="189"/>
      <c r="G8" s="189"/>
      <c r="H8" s="189"/>
      <c r="I8" s="189"/>
      <c r="J8" s="189"/>
    </row>
    <row r="9" spans="1:10" ht="30" customHeight="1">
      <c r="A9" s="187" t="str">
        <f>'DATA INPUT SHEET'!A13:C13</f>
        <v>CO5</v>
      </c>
      <c r="B9" s="187"/>
      <c r="C9" s="188"/>
      <c r="D9" s="189" t="str">
        <f>'DATA INPUT SHEET'!D13:Q13</f>
        <v>Basic knowledge of NDT.</v>
      </c>
      <c r="E9" s="189"/>
      <c r="F9" s="189"/>
      <c r="G9" s="189"/>
      <c r="H9" s="189"/>
      <c r="I9" s="189"/>
      <c r="J9" s="189"/>
    </row>
    <row r="10" spans="1:10" ht="38.25" customHeight="1">
      <c r="A10" s="153" t="s">
        <v>1</v>
      </c>
      <c r="B10" s="153" t="s">
        <v>15</v>
      </c>
      <c r="C10" s="153" t="s">
        <v>2</v>
      </c>
      <c r="D10" s="153" t="s">
        <v>0</v>
      </c>
      <c r="E10" s="153" t="s">
        <v>14</v>
      </c>
      <c r="F10" s="153" t="s">
        <v>126</v>
      </c>
      <c r="G10" s="190" t="s">
        <v>21</v>
      </c>
      <c r="H10" s="158" t="s">
        <v>22</v>
      </c>
      <c r="I10" s="159"/>
      <c r="J10" s="160"/>
    </row>
    <row r="11" spans="1:10">
      <c r="A11" s="154"/>
      <c r="B11" s="154"/>
      <c r="C11" s="154"/>
      <c r="D11" s="154"/>
      <c r="E11" s="154"/>
      <c r="F11" s="154"/>
      <c r="G11" s="191"/>
      <c r="H11" s="151" t="str">
        <f>IF($G$13=0,"NOT APPLICABLE","APPLICABLE")</f>
        <v>APPLICABLE</v>
      </c>
      <c r="I11" s="151"/>
      <c r="J11" s="152"/>
    </row>
    <row r="12" spans="1:10">
      <c r="A12" s="163"/>
      <c r="B12" s="163"/>
      <c r="C12" s="163"/>
      <c r="D12" s="163"/>
      <c r="E12" s="163"/>
      <c r="F12" s="154"/>
      <c r="G12" s="191"/>
      <c r="H12" s="32" t="s">
        <v>127</v>
      </c>
      <c r="I12" s="32" t="s">
        <v>128</v>
      </c>
      <c r="J12" s="32" t="s">
        <v>129</v>
      </c>
    </row>
    <row r="13" spans="1:10">
      <c r="A13" s="193" t="s">
        <v>6</v>
      </c>
      <c r="B13" s="193"/>
      <c r="C13" s="193"/>
      <c r="D13" s="193"/>
      <c r="E13" s="34">
        <v>30</v>
      </c>
      <c r="F13" s="34">
        <v>70</v>
      </c>
      <c r="G13" s="20">
        <v>70</v>
      </c>
      <c r="H13" s="35" t="s">
        <v>9</v>
      </c>
      <c r="I13" s="35" t="s">
        <v>10</v>
      </c>
      <c r="J13" s="35" t="s">
        <v>11</v>
      </c>
    </row>
    <row r="14" spans="1:10">
      <c r="A14" s="2">
        <v>1</v>
      </c>
      <c r="B14" s="2" t="str">
        <f>Internal!B14</f>
        <v>A</v>
      </c>
      <c r="C14" s="112">
        <f>Internal!C14</f>
        <v>2101650400002</v>
      </c>
      <c r="D14" s="26" t="str">
        <f>Internal!D14</f>
        <v>AKASHSHARMA</v>
      </c>
      <c r="E14" s="89" t="s">
        <v>12</v>
      </c>
      <c r="F14" s="268">
        <v>34</v>
      </c>
      <c r="G14" s="268">
        <v>34</v>
      </c>
      <c r="H14" s="36">
        <f>IF(ISBLANK(G14),0,IF(E14="A","A",IF(G14&lt;($G$13*40)/100,1,0)))</f>
        <v>0</v>
      </c>
      <c r="I14" s="36">
        <f>IF(G14="A","A",IF(AND(G14&gt;=($G$13*40)/100,G14&lt;($G$13*60)/100),1,0))</f>
        <v>1</v>
      </c>
      <c r="J14" s="36">
        <f>IF(E14="A","A",IF(ISNUMBER(G14),IF(G14&gt;=($G$13*60)/100,1,0),0))</f>
        <v>0</v>
      </c>
    </row>
    <row r="15" spans="1:10">
      <c r="A15" s="2">
        <v>2</v>
      </c>
      <c r="B15" s="2" t="str">
        <f>Internal!B15</f>
        <v>A</v>
      </c>
      <c r="C15" s="112">
        <f>Internal!C15</f>
        <v>2201650400001</v>
      </c>
      <c r="D15" s="26" t="str">
        <f>Internal!D15</f>
        <v>ABDULREHMAN</v>
      </c>
      <c r="E15" s="89" t="s">
        <v>12</v>
      </c>
      <c r="F15" s="268">
        <v>45</v>
      </c>
      <c r="G15" s="268">
        <v>45</v>
      </c>
      <c r="H15" s="36">
        <f>IF(ISBLANK(G15),0,IF(E15="A","A",IF(G15&lt;($G$13*40)/100,1,0)))</f>
        <v>0</v>
      </c>
      <c r="I15" s="36">
        <f>IF(G15="A","A",IF(AND(G15&gt;=($G$13*40)/100,G15&lt;($G$13*60)/100),1,0))</f>
        <v>0</v>
      </c>
      <c r="J15" s="36">
        <f>IF(E15="A","A",IF(ISNUMBER(G15),IF(G15&gt;=($G$13*60)/100,1,0),0))</f>
        <v>1</v>
      </c>
    </row>
    <row r="16" spans="1:10">
      <c r="A16" s="2">
        <v>3</v>
      </c>
      <c r="B16" s="2" t="str">
        <f>Internal!B16</f>
        <v>A</v>
      </c>
      <c r="C16" s="112">
        <f>Internal!C16</f>
        <v>2201650400002</v>
      </c>
      <c r="D16" s="26" t="str">
        <f>Internal!D16</f>
        <v>ABHISHEKSINGH</v>
      </c>
      <c r="E16" s="89" t="s">
        <v>12</v>
      </c>
      <c r="F16" s="268">
        <v>26</v>
      </c>
      <c r="G16" s="268">
        <v>26</v>
      </c>
      <c r="H16" s="36">
        <f t="shared" ref="H16:H43" si="0">IF(ISBLANK(G16),0,IF(E16="A","A",IF(G16&lt;($G$13*40)/100,1,0)))</f>
        <v>1</v>
      </c>
      <c r="I16" s="36">
        <f t="shared" ref="I16:I43" si="1">IF(G16="A","A",IF(AND(G16&gt;=($G$13*40)/100,G16&lt;($G$13*60)/100),1,0))</f>
        <v>0</v>
      </c>
      <c r="J16" s="36">
        <f t="shared" ref="J16:J43" si="2">IF(E16="A","A",IF(ISNUMBER(G16),IF(G16&gt;=($G$13*60)/100,1,0),0))</f>
        <v>0</v>
      </c>
    </row>
    <row r="17" spans="1:10">
      <c r="A17" s="2">
        <v>4</v>
      </c>
      <c r="B17" s="2" t="str">
        <f>Internal!B17</f>
        <v>A</v>
      </c>
      <c r="C17" s="112">
        <f>Internal!C17</f>
        <v>2201650400004</v>
      </c>
      <c r="D17" s="26" t="str">
        <f>Internal!D17</f>
        <v>AMANKUMAR</v>
      </c>
      <c r="E17" s="89" t="s">
        <v>12</v>
      </c>
      <c r="F17" s="268">
        <v>40</v>
      </c>
      <c r="G17" s="268">
        <v>40</v>
      </c>
      <c r="H17" s="36">
        <f t="shared" si="0"/>
        <v>0</v>
      </c>
      <c r="I17" s="36">
        <f t="shared" si="1"/>
        <v>1</v>
      </c>
      <c r="J17" s="36">
        <f t="shared" si="2"/>
        <v>0</v>
      </c>
    </row>
    <row r="18" spans="1:10">
      <c r="A18" s="2">
        <v>5</v>
      </c>
      <c r="B18" s="2" t="str">
        <f>Internal!B18</f>
        <v>A</v>
      </c>
      <c r="C18" s="112">
        <f>Internal!C18</f>
        <v>2201650400007</v>
      </c>
      <c r="D18" s="26" t="str">
        <f>Internal!D18</f>
        <v>GULSHANKUMARKASHYAP</v>
      </c>
      <c r="E18" s="89" t="s">
        <v>12</v>
      </c>
      <c r="F18" s="268">
        <v>21</v>
      </c>
      <c r="G18" s="268">
        <v>21</v>
      </c>
      <c r="H18" s="36">
        <f t="shared" si="0"/>
        <v>1</v>
      </c>
      <c r="I18" s="36">
        <f t="shared" si="1"/>
        <v>0</v>
      </c>
      <c r="J18" s="36">
        <f t="shared" si="2"/>
        <v>0</v>
      </c>
    </row>
    <row r="19" spans="1:10">
      <c r="A19" s="2">
        <v>6</v>
      </c>
      <c r="B19" s="2" t="str">
        <f>Internal!B19</f>
        <v>A</v>
      </c>
      <c r="C19" s="112">
        <f>Internal!C19</f>
        <v>2201650400008</v>
      </c>
      <c r="D19" s="26" t="str">
        <f>Internal!D19</f>
        <v>HARSHITSHARMA</v>
      </c>
      <c r="E19" s="89" t="s">
        <v>12</v>
      </c>
      <c r="F19" s="268">
        <v>42</v>
      </c>
      <c r="G19" s="268">
        <v>42</v>
      </c>
      <c r="H19" s="36">
        <f t="shared" si="0"/>
        <v>0</v>
      </c>
      <c r="I19" s="36">
        <f t="shared" si="1"/>
        <v>0</v>
      </c>
      <c r="J19" s="36">
        <f t="shared" si="2"/>
        <v>1</v>
      </c>
    </row>
    <row r="20" spans="1:10">
      <c r="A20" s="2">
        <v>7</v>
      </c>
      <c r="B20" s="2" t="str">
        <f>Internal!B20</f>
        <v>A</v>
      </c>
      <c r="C20" s="112">
        <f>Internal!C20</f>
        <v>2201650400009</v>
      </c>
      <c r="D20" s="26" t="str">
        <f>Internal!D20</f>
        <v>PAWANKUMAR</v>
      </c>
      <c r="E20" s="89" t="s">
        <v>12</v>
      </c>
      <c r="F20" s="268">
        <v>31</v>
      </c>
      <c r="G20" s="268">
        <v>31</v>
      </c>
      <c r="H20" s="36">
        <f t="shared" si="0"/>
        <v>0</v>
      </c>
      <c r="I20" s="36">
        <f t="shared" si="1"/>
        <v>1</v>
      </c>
      <c r="J20" s="36">
        <f t="shared" si="2"/>
        <v>0</v>
      </c>
    </row>
    <row r="21" spans="1:10">
      <c r="A21" s="2">
        <v>8</v>
      </c>
      <c r="B21" s="2" t="str">
        <f>Internal!B21</f>
        <v>A</v>
      </c>
      <c r="C21" s="112">
        <f>Internal!C21</f>
        <v>2201650400013</v>
      </c>
      <c r="D21" s="26" t="str">
        <f>Internal!D21</f>
        <v>SHIVAMTIWARI</v>
      </c>
      <c r="E21" s="89" t="s">
        <v>12</v>
      </c>
      <c r="F21" s="268">
        <v>21</v>
      </c>
      <c r="G21" s="268">
        <v>21</v>
      </c>
      <c r="H21" s="36">
        <f t="shared" si="0"/>
        <v>1</v>
      </c>
      <c r="I21" s="36">
        <f t="shared" si="1"/>
        <v>0</v>
      </c>
      <c r="J21" s="36">
        <f t="shared" si="2"/>
        <v>0</v>
      </c>
    </row>
    <row r="22" spans="1:10">
      <c r="A22" s="2">
        <v>9</v>
      </c>
      <c r="B22" s="2" t="str">
        <f>Internal!B22</f>
        <v>A</v>
      </c>
      <c r="C22" s="112">
        <f>Internal!C22</f>
        <v>2201650400014</v>
      </c>
      <c r="D22" s="26" t="str">
        <f>Internal!D22</f>
        <v>TIWARI SHITESHSANTOSHKUMAR</v>
      </c>
      <c r="E22" s="89" t="s">
        <v>12</v>
      </c>
      <c r="F22" s="268">
        <v>22</v>
      </c>
      <c r="G22" s="268">
        <v>22</v>
      </c>
      <c r="H22" s="36">
        <f t="shared" si="0"/>
        <v>1</v>
      </c>
      <c r="I22" s="36">
        <f t="shared" si="1"/>
        <v>0</v>
      </c>
      <c r="J22" s="36">
        <f t="shared" si="2"/>
        <v>0</v>
      </c>
    </row>
    <row r="23" spans="1:10">
      <c r="A23" s="2">
        <v>10</v>
      </c>
      <c r="B23" s="2" t="str">
        <f>Internal!B23</f>
        <v>A</v>
      </c>
      <c r="C23" s="112">
        <f>Internal!C23</f>
        <v>2201650400015</v>
      </c>
      <c r="D23" s="26" t="str">
        <f>Internal!D23</f>
        <v>VIRATSHARMA</v>
      </c>
      <c r="E23" s="89" t="s">
        <v>12</v>
      </c>
      <c r="F23" s="268">
        <v>29</v>
      </c>
      <c r="G23" s="268">
        <v>29</v>
      </c>
      <c r="H23" s="36">
        <f t="shared" si="0"/>
        <v>0</v>
      </c>
      <c r="I23" s="36">
        <f t="shared" si="1"/>
        <v>1</v>
      </c>
      <c r="J23" s="36">
        <f t="shared" si="2"/>
        <v>0</v>
      </c>
    </row>
    <row r="24" spans="1:10">
      <c r="A24" s="2">
        <v>11</v>
      </c>
      <c r="B24" s="2" t="str">
        <f>Internal!B24</f>
        <v>A</v>
      </c>
      <c r="C24" s="112">
        <f>Internal!C24</f>
        <v>2301650409001</v>
      </c>
      <c r="D24" s="26" t="str">
        <f>Internal!D24</f>
        <v>ABHINAV TIWARI</v>
      </c>
      <c r="E24" s="89" t="s">
        <v>12</v>
      </c>
      <c r="F24" s="268">
        <v>21</v>
      </c>
      <c r="G24" s="268">
        <v>21</v>
      </c>
      <c r="H24" s="36">
        <f t="shared" si="0"/>
        <v>1</v>
      </c>
      <c r="I24" s="36">
        <f t="shared" si="1"/>
        <v>0</v>
      </c>
      <c r="J24" s="36">
        <f t="shared" si="2"/>
        <v>0</v>
      </c>
    </row>
    <row r="25" spans="1:10">
      <c r="A25" s="2">
        <v>12</v>
      </c>
      <c r="B25" s="2" t="str">
        <f>Internal!B25</f>
        <v>A</v>
      </c>
      <c r="C25" s="112">
        <f>Internal!C25</f>
        <v>2301650409002</v>
      </c>
      <c r="D25" s="26" t="str">
        <f>Internal!D25</f>
        <v>ABHISHEKKASHYAP</v>
      </c>
      <c r="E25" s="89" t="s">
        <v>12</v>
      </c>
      <c r="F25" s="268">
        <v>38</v>
      </c>
      <c r="G25" s="268">
        <v>38</v>
      </c>
      <c r="H25" s="36">
        <f t="shared" si="0"/>
        <v>0</v>
      </c>
      <c r="I25" s="36">
        <f t="shared" si="1"/>
        <v>1</v>
      </c>
      <c r="J25" s="36">
        <f t="shared" si="2"/>
        <v>0</v>
      </c>
    </row>
    <row r="26" spans="1:10">
      <c r="A26" s="2">
        <v>13</v>
      </c>
      <c r="B26" s="2" t="str">
        <f>Internal!B26</f>
        <v>A</v>
      </c>
      <c r="C26" s="112">
        <f>Internal!C26</f>
        <v>2301650409003</v>
      </c>
      <c r="D26" s="26" t="str">
        <f>Internal!D26</f>
        <v>AKARSHANRAI</v>
      </c>
      <c r="E26" s="89" t="s">
        <v>12</v>
      </c>
      <c r="F26" s="268">
        <v>25</v>
      </c>
      <c r="G26" s="268">
        <v>25</v>
      </c>
      <c r="H26" s="36">
        <f t="shared" si="0"/>
        <v>1</v>
      </c>
      <c r="I26" s="36">
        <f t="shared" si="1"/>
        <v>0</v>
      </c>
      <c r="J26" s="36">
        <f t="shared" si="2"/>
        <v>0</v>
      </c>
    </row>
    <row r="27" spans="1:10">
      <c r="A27" s="2">
        <v>14</v>
      </c>
      <c r="B27" s="2" t="str">
        <f>Internal!B27</f>
        <v>A</v>
      </c>
      <c r="C27" s="112">
        <f>Internal!C27</f>
        <v>2301650409005</v>
      </c>
      <c r="D27" s="26" t="str">
        <f>Internal!D27</f>
        <v>KHUSHBOOYADAV</v>
      </c>
      <c r="E27" s="89" t="s">
        <v>12</v>
      </c>
      <c r="F27" s="269">
        <v>28</v>
      </c>
      <c r="G27" s="269">
        <v>28</v>
      </c>
      <c r="H27" s="36">
        <f t="shared" si="0"/>
        <v>0</v>
      </c>
      <c r="I27" s="36">
        <f t="shared" si="1"/>
        <v>1</v>
      </c>
      <c r="J27" s="36">
        <f t="shared" si="2"/>
        <v>0</v>
      </c>
    </row>
    <row r="28" spans="1:10">
      <c r="A28" s="2">
        <v>15</v>
      </c>
      <c r="B28" s="2" t="str">
        <f>Internal!B28</f>
        <v>A</v>
      </c>
      <c r="C28" s="112">
        <f>Internal!C28</f>
        <v>2301650409006</v>
      </c>
      <c r="D28" s="26" t="str">
        <f>Internal!D28</f>
        <v>MOHDQAISQURAISHI</v>
      </c>
      <c r="E28" s="89" t="s">
        <v>12</v>
      </c>
      <c r="F28" s="268">
        <v>26</v>
      </c>
      <c r="G28" s="268">
        <v>26</v>
      </c>
      <c r="H28" s="36">
        <f t="shared" si="0"/>
        <v>1</v>
      </c>
      <c r="I28" s="36">
        <f t="shared" si="1"/>
        <v>0</v>
      </c>
      <c r="J28" s="36">
        <f t="shared" si="2"/>
        <v>0</v>
      </c>
    </row>
    <row r="29" spans="1:10">
      <c r="A29" s="2">
        <v>16</v>
      </c>
      <c r="B29" s="2" t="str">
        <f>Internal!B29</f>
        <v>A</v>
      </c>
      <c r="C29" s="112">
        <f>Internal!C29</f>
        <v>2301650409007</v>
      </c>
      <c r="D29" s="26" t="str">
        <f>Internal!D29</f>
        <v>PRABHATSHARMA</v>
      </c>
      <c r="E29" s="89" t="s">
        <v>12</v>
      </c>
      <c r="F29" s="268">
        <v>47</v>
      </c>
      <c r="G29" s="268">
        <v>47</v>
      </c>
      <c r="H29" s="36">
        <f t="shared" si="0"/>
        <v>0</v>
      </c>
      <c r="I29" s="36">
        <f t="shared" si="1"/>
        <v>0</v>
      </c>
      <c r="J29" s="36">
        <f t="shared" si="2"/>
        <v>1</v>
      </c>
    </row>
    <row r="30" spans="1:10">
      <c r="A30" s="2">
        <v>17</v>
      </c>
      <c r="B30" s="2" t="str">
        <f>Internal!B30</f>
        <v>A</v>
      </c>
      <c r="C30" s="112">
        <f>Internal!C30</f>
        <v>2301650409008</v>
      </c>
      <c r="D30" s="26" t="str">
        <f>Internal!D30</f>
        <v>RAMANKUMAR</v>
      </c>
      <c r="E30" s="89" t="s">
        <v>12</v>
      </c>
      <c r="F30" s="268">
        <v>34</v>
      </c>
      <c r="G30" s="268">
        <v>34</v>
      </c>
      <c r="H30" s="36">
        <f t="shared" si="0"/>
        <v>0</v>
      </c>
      <c r="I30" s="36">
        <f t="shared" si="1"/>
        <v>1</v>
      </c>
      <c r="J30" s="36">
        <f t="shared" si="2"/>
        <v>0</v>
      </c>
    </row>
    <row r="31" spans="1:10">
      <c r="A31" s="2">
        <v>18</v>
      </c>
      <c r="B31" s="2" t="str">
        <f>Internal!B31</f>
        <v>A</v>
      </c>
      <c r="C31" s="112">
        <f>Internal!C31</f>
        <v>2301650409009</v>
      </c>
      <c r="D31" s="26" t="str">
        <f>Internal!D31</f>
        <v>RIYANKPORWAL</v>
      </c>
      <c r="E31" s="89" t="s">
        <v>12</v>
      </c>
      <c r="F31" s="268">
        <v>22</v>
      </c>
      <c r="G31" s="268">
        <v>22</v>
      </c>
      <c r="H31" s="36">
        <f t="shared" si="0"/>
        <v>1</v>
      </c>
      <c r="I31" s="36">
        <f t="shared" si="1"/>
        <v>0</v>
      </c>
      <c r="J31" s="36">
        <f t="shared" si="2"/>
        <v>0</v>
      </c>
    </row>
    <row r="32" spans="1:10">
      <c r="A32" s="2">
        <v>19</v>
      </c>
      <c r="B32" s="2" t="str">
        <f>Internal!B32</f>
        <v>A</v>
      </c>
      <c r="C32" s="112">
        <f>Internal!C32</f>
        <v>0</v>
      </c>
      <c r="D32" s="26">
        <f>Internal!D32</f>
        <v>0</v>
      </c>
      <c r="E32" s="89" t="s">
        <v>12</v>
      </c>
      <c r="F32" s="116"/>
      <c r="G32" s="39"/>
      <c r="H32" s="36">
        <f t="shared" si="0"/>
        <v>0</v>
      </c>
      <c r="I32" s="36">
        <f t="shared" si="1"/>
        <v>0</v>
      </c>
      <c r="J32" s="36">
        <f t="shared" si="2"/>
        <v>0</v>
      </c>
    </row>
    <row r="33" spans="1:10">
      <c r="A33" s="2">
        <v>20</v>
      </c>
      <c r="B33" s="2" t="str">
        <f>Internal!B33</f>
        <v>A</v>
      </c>
      <c r="C33" s="112">
        <f>Internal!C33</f>
        <v>0</v>
      </c>
      <c r="D33" s="26">
        <f>Internal!D33</f>
        <v>0</v>
      </c>
      <c r="E33" s="89" t="s">
        <v>12</v>
      </c>
      <c r="F33" s="116"/>
      <c r="G33" s="39"/>
      <c r="H33" s="36">
        <f t="shared" si="0"/>
        <v>0</v>
      </c>
      <c r="I33" s="36">
        <f t="shared" si="1"/>
        <v>0</v>
      </c>
      <c r="J33" s="36">
        <f t="shared" si="2"/>
        <v>0</v>
      </c>
    </row>
    <row r="34" spans="1:10">
      <c r="A34" s="2">
        <v>21</v>
      </c>
      <c r="B34" s="2" t="str">
        <f>Internal!B34</f>
        <v>A</v>
      </c>
      <c r="C34" s="112">
        <f>Internal!C34</f>
        <v>0</v>
      </c>
      <c r="D34" s="26">
        <f>Internal!D34</f>
        <v>0</v>
      </c>
      <c r="E34" s="89" t="s">
        <v>12</v>
      </c>
      <c r="F34" s="116"/>
      <c r="G34" s="39"/>
      <c r="H34" s="36">
        <f t="shared" si="0"/>
        <v>0</v>
      </c>
      <c r="I34" s="36">
        <f t="shared" si="1"/>
        <v>0</v>
      </c>
      <c r="J34" s="36">
        <f t="shared" si="2"/>
        <v>0</v>
      </c>
    </row>
    <row r="35" spans="1:10">
      <c r="A35" s="2">
        <v>22</v>
      </c>
      <c r="B35" s="2" t="str">
        <f>Internal!B35</f>
        <v>A</v>
      </c>
      <c r="C35" s="112">
        <f>Internal!C35</f>
        <v>0</v>
      </c>
      <c r="D35" s="26">
        <f>Internal!D35</f>
        <v>0</v>
      </c>
      <c r="E35" s="89" t="s">
        <v>12</v>
      </c>
      <c r="F35" s="116"/>
      <c r="G35" s="39"/>
      <c r="H35" s="36">
        <f t="shared" si="0"/>
        <v>0</v>
      </c>
      <c r="I35" s="36">
        <f t="shared" si="1"/>
        <v>0</v>
      </c>
      <c r="J35" s="36">
        <f t="shared" si="2"/>
        <v>0</v>
      </c>
    </row>
    <row r="36" spans="1:10">
      <c r="A36" s="2">
        <v>23</v>
      </c>
      <c r="B36" s="2" t="str">
        <f>Internal!B36</f>
        <v>A</v>
      </c>
      <c r="C36" s="112">
        <f>Internal!C36</f>
        <v>0</v>
      </c>
      <c r="D36" s="26">
        <f>Internal!D36</f>
        <v>0</v>
      </c>
      <c r="E36" s="89" t="s">
        <v>12</v>
      </c>
      <c r="F36" s="116"/>
      <c r="G36" s="39"/>
      <c r="H36" s="36">
        <f t="shared" si="0"/>
        <v>0</v>
      </c>
      <c r="I36" s="36">
        <f t="shared" si="1"/>
        <v>0</v>
      </c>
      <c r="J36" s="36">
        <f t="shared" si="2"/>
        <v>0</v>
      </c>
    </row>
    <row r="37" spans="1:10">
      <c r="A37" s="2">
        <v>24</v>
      </c>
      <c r="B37" s="2" t="str">
        <f>Internal!B37</f>
        <v>A</v>
      </c>
      <c r="C37" s="112">
        <f>Internal!C37</f>
        <v>0</v>
      </c>
      <c r="D37" s="26">
        <f>Internal!D37</f>
        <v>0</v>
      </c>
      <c r="E37" s="89" t="s">
        <v>12</v>
      </c>
      <c r="F37" s="116"/>
      <c r="G37" s="39"/>
      <c r="H37" s="36">
        <f t="shared" si="0"/>
        <v>0</v>
      </c>
      <c r="I37" s="36">
        <f t="shared" si="1"/>
        <v>0</v>
      </c>
      <c r="J37" s="36">
        <f t="shared" si="2"/>
        <v>0</v>
      </c>
    </row>
    <row r="38" spans="1:10">
      <c r="A38" s="2">
        <v>25</v>
      </c>
      <c r="B38" s="2" t="str">
        <f>Internal!B38</f>
        <v>A</v>
      </c>
      <c r="C38" s="112">
        <f>Internal!C38</f>
        <v>0</v>
      </c>
      <c r="D38" s="26">
        <f>Internal!D38</f>
        <v>0</v>
      </c>
      <c r="E38" s="89" t="s">
        <v>12</v>
      </c>
      <c r="F38" s="116"/>
      <c r="G38" s="39"/>
      <c r="H38" s="36">
        <f t="shared" si="0"/>
        <v>0</v>
      </c>
      <c r="I38" s="36">
        <f t="shared" si="1"/>
        <v>0</v>
      </c>
      <c r="J38" s="36">
        <f t="shared" si="2"/>
        <v>0</v>
      </c>
    </row>
    <row r="39" spans="1:10">
      <c r="A39" s="2">
        <v>26</v>
      </c>
      <c r="B39" s="2" t="str">
        <f>Internal!B39</f>
        <v>A</v>
      </c>
      <c r="C39" s="112">
        <f>Internal!C39</f>
        <v>0</v>
      </c>
      <c r="D39" s="26">
        <f>Internal!D39</f>
        <v>0</v>
      </c>
      <c r="E39" s="89" t="s">
        <v>12</v>
      </c>
      <c r="F39" s="117"/>
      <c r="G39" s="39"/>
      <c r="H39" s="36">
        <f t="shared" si="0"/>
        <v>0</v>
      </c>
      <c r="I39" s="36">
        <f t="shared" si="1"/>
        <v>0</v>
      </c>
      <c r="J39" s="36">
        <f t="shared" si="2"/>
        <v>0</v>
      </c>
    </row>
    <row r="40" spans="1:10">
      <c r="A40" s="2">
        <v>27</v>
      </c>
      <c r="B40" s="2" t="str">
        <f>Internal!B40</f>
        <v>A</v>
      </c>
      <c r="C40" s="112">
        <f>Internal!C40</f>
        <v>0</v>
      </c>
      <c r="D40" s="26">
        <f>Internal!D40</f>
        <v>0</v>
      </c>
      <c r="E40" s="89" t="s">
        <v>12</v>
      </c>
      <c r="F40" s="116"/>
      <c r="G40" s="39"/>
      <c r="H40" s="36">
        <f t="shared" si="0"/>
        <v>0</v>
      </c>
      <c r="I40" s="36">
        <f t="shared" si="1"/>
        <v>0</v>
      </c>
      <c r="J40" s="36">
        <f t="shared" si="2"/>
        <v>0</v>
      </c>
    </row>
    <row r="41" spans="1:10">
      <c r="A41" s="2">
        <v>28</v>
      </c>
      <c r="B41" s="2" t="str">
        <f>Internal!B41</f>
        <v>A</v>
      </c>
      <c r="C41" s="112">
        <f>Internal!C41</f>
        <v>0</v>
      </c>
      <c r="D41" s="26">
        <f>Internal!D41</f>
        <v>0</v>
      </c>
      <c r="E41" s="89" t="s">
        <v>12</v>
      </c>
      <c r="F41" s="116"/>
      <c r="G41" s="39"/>
      <c r="H41" s="36">
        <f t="shared" si="0"/>
        <v>0</v>
      </c>
      <c r="I41" s="36">
        <f t="shared" si="1"/>
        <v>0</v>
      </c>
      <c r="J41" s="36">
        <f t="shared" si="2"/>
        <v>0</v>
      </c>
    </row>
    <row r="42" spans="1:10">
      <c r="A42" s="2">
        <v>29</v>
      </c>
      <c r="B42" s="2" t="str">
        <f>Internal!B42</f>
        <v>A</v>
      </c>
      <c r="C42" s="112">
        <f>Internal!C42</f>
        <v>0</v>
      </c>
      <c r="D42" s="26">
        <f>Internal!D42</f>
        <v>0</v>
      </c>
      <c r="E42" s="89" t="s">
        <v>12</v>
      </c>
      <c r="F42" s="116"/>
      <c r="G42" s="39"/>
      <c r="H42" s="36">
        <f t="shared" si="0"/>
        <v>0</v>
      </c>
      <c r="I42" s="36">
        <f t="shared" si="1"/>
        <v>0</v>
      </c>
      <c r="J42" s="36">
        <f t="shared" si="2"/>
        <v>0</v>
      </c>
    </row>
    <row r="43" spans="1:10">
      <c r="A43" s="2">
        <v>30</v>
      </c>
      <c r="B43" s="2" t="str">
        <f>Internal!B43</f>
        <v>A</v>
      </c>
      <c r="C43" s="112">
        <f>Internal!C43</f>
        <v>0</v>
      </c>
      <c r="D43" s="26">
        <f>Internal!D43</f>
        <v>0</v>
      </c>
      <c r="E43" s="89" t="s">
        <v>12</v>
      </c>
      <c r="F43" s="116"/>
      <c r="G43" s="39"/>
      <c r="H43" s="36">
        <f t="shared" si="0"/>
        <v>0</v>
      </c>
      <c r="I43" s="36">
        <f t="shared" si="1"/>
        <v>0</v>
      </c>
      <c r="J43" s="36">
        <f t="shared" si="2"/>
        <v>0</v>
      </c>
    </row>
    <row r="44" spans="1:10">
      <c r="A44" s="2">
        <v>31</v>
      </c>
      <c r="B44" s="2" t="str">
        <f>Internal!B44</f>
        <v>A</v>
      </c>
      <c r="C44" s="112">
        <f>Internal!C44</f>
        <v>0</v>
      </c>
      <c r="D44" s="26"/>
      <c r="E44" s="89"/>
      <c r="F44" s="101"/>
      <c r="G44" s="39"/>
      <c r="H44" s="36"/>
      <c r="I44" s="36"/>
      <c r="J44" s="36"/>
    </row>
    <row r="45" spans="1:10">
      <c r="A45" s="2">
        <v>32</v>
      </c>
      <c r="B45" s="2" t="str">
        <f>Internal!B45</f>
        <v>A</v>
      </c>
      <c r="C45" s="112">
        <f>Internal!C45</f>
        <v>0</v>
      </c>
      <c r="D45" s="26"/>
      <c r="E45" s="89"/>
      <c r="F45" s="101"/>
      <c r="G45" s="39"/>
      <c r="H45" s="36"/>
      <c r="I45" s="36"/>
      <c r="J45" s="36"/>
    </row>
    <row r="46" spans="1:10">
      <c r="A46" s="2">
        <v>33</v>
      </c>
      <c r="B46" s="2" t="str">
        <f>Internal!B46</f>
        <v>A</v>
      </c>
      <c r="C46" s="112">
        <f>Internal!C46</f>
        <v>0</v>
      </c>
      <c r="D46" s="26"/>
      <c r="E46" s="89"/>
      <c r="F46" s="101"/>
      <c r="G46" s="39"/>
      <c r="H46" s="36"/>
      <c r="I46" s="36"/>
      <c r="J46" s="36"/>
    </row>
    <row r="47" spans="1:10">
      <c r="A47" s="2">
        <v>34</v>
      </c>
      <c r="B47" s="2" t="str">
        <f>Internal!B47</f>
        <v>A</v>
      </c>
      <c r="C47" s="112">
        <f>Internal!C47</f>
        <v>0</v>
      </c>
      <c r="D47" s="26"/>
      <c r="E47" s="89"/>
      <c r="F47" s="101"/>
      <c r="G47" s="39"/>
      <c r="H47" s="36"/>
      <c r="I47" s="36"/>
      <c r="J47" s="36"/>
    </row>
    <row r="48" spans="1:10">
      <c r="A48" s="2">
        <v>35</v>
      </c>
      <c r="B48" s="2" t="str">
        <f>Internal!B48</f>
        <v>A</v>
      </c>
      <c r="C48" s="112">
        <f>Internal!C48</f>
        <v>0</v>
      </c>
      <c r="D48" s="26"/>
      <c r="E48" s="89"/>
      <c r="F48" s="101"/>
      <c r="G48" s="39"/>
      <c r="H48" s="36"/>
      <c r="I48" s="36"/>
      <c r="J48" s="36"/>
    </row>
    <row r="49" spans="1:10">
      <c r="A49" s="2">
        <v>36</v>
      </c>
      <c r="B49" s="2" t="str">
        <f>Internal!B49</f>
        <v>A</v>
      </c>
      <c r="C49" s="112">
        <f>Internal!C49</f>
        <v>0</v>
      </c>
      <c r="D49" s="26"/>
      <c r="E49" s="89"/>
      <c r="F49" s="101"/>
      <c r="G49" s="39"/>
      <c r="H49" s="36"/>
      <c r="I49" s="36"/>
      <c r="J49" s="36"/>
    </row>
    <row r="50" spans="1:10">
      <c r="A50" s="2">
        <v>37</v>
      </c>
      <c r="B50" s="2" t="str">
        <f>Internal!B50</f>
        <v>A</v>
      </c>
      <c r="C50" s="112">
        <f>Internal!C50</f>
        <v>0</v>
      </c>
      <c r="D50" s="26"/>
      <c r="E50" s="89"/>
      <c r="F50" s="101"/>
      <c r="G50" s="39"/>
      <c r="H50" s="36"/>
      <c r="I50" s="36"/>
      <c r="J50" s="36"/>
    </row>
    <row r="51" spans="1:10">
      <c r="A51" s="2">
        <v>38</v>
      </c>
      <c r="B51" s="2" t="str">
        <f>Internal!B51</f>
        <v>A</v>
      </c>
      <c r="C51" s="112">
        <f>Internal!C51</f>
        <v>0</v>
      </c>
      <c r="D51" s="26"/>
      <c r="E51" s="89"/>
      <c r="F51" s="101"/>
      <c r="G51" s="39"/>
      <c r="H51" s="36"/>
      <c r="I51" s="36"/>
      <c r="J51" s="36"/>
    </row>
    <row r="52" spans="1:10">
      <c r="A52" s="2">
        <v>39</v>
      </c>
      <c r="B52" s="2" t="str">
        <f>Internal!B52</f>
        <v>A</v>
      </c>
      <c r="C52" s="112">
        <f>Internal!C52</f>
        <v>0</v>
      </c>
      <c r="D52" s="26"/>
      <c r="E52" s="89"/>
      <c r="F52" s="101"/>
      <c r="G52" s="39"/>
      <c r="H52" s="36"/>
      <c r="I52" s="36"/>
      <c r="J52" s="36"/>
    </row>
    <row r="53" spans="1:10">
      <c r="A53" s="2">
        <v>40</v>
      </c>
      <c r="B53" s="2" t="str">
        <f>Internal!B53</f>
        <v>A</v>
      </c>
      <c r="C53" s="112">
        <f>Internal!C53</f>
        <v>0</v>
      </c>
      <c r="D53" s="26"/>
      <c r="E53" s="89"/>
      <c r="F53" s="101"/>
      <c r="G53" s="39"/>
      <c r="H53" s="36"/>
      <c r="I53" s="36"/>
      <c r="J53" s="36"/>
    </row>
    <row r="54" spans="1:10">
      <c r="A54" s="2">
        <v>41</v>
      </c>
      <c r="B54" s="2" t="str">
        <f>Internal!B54</f>
        <v>A</v>
      </c>
      <c r="C54" s="112">
        <f>Internal!C54</f>
        <v>0</v>
      </c>
      <c r="D54" s="26"/>
      <c r="E54" s="89"/>
      <c r="F54" s="101"/>
      <c r="G54" s="39"/>
      <c r="H54" s="36"/>
      <c r="I54" s="36"/>
      <c r="J54" s="36"/>
    </row>
    <row r="55" spans="1:10">
      <c r="A55" s="2">
        <v>42</v>
      </c>
      <c r="B55" s="2" t="str">
        <f>Internal!B55</f>
        <v>A</v>
      </c>
      <c r="C55" s="112">
        <f>Internal!C55</f>
        <v>0</v>
      </c>
      <c r="D55" s="26"/>
      <c r="E55" s="89"/>
      <c r="F55" s="101"/>
      <c r="G55" s="39"/>
      <c r="H55" s="36"/>
      <c r="I55" s="36"/>
      <c r="J55" s="36"/>
    </row>
    <row r="56" spans="1:10">
      <c r="A56" s="2">
        <v>43</v>
      </c>
      <c r="B56" s="2" t="str">
        <f>Internal!B56</f>
        <v>A</v>
      </c>
      <c r="C56" s="112">
        <f>Internal!C56</f>
        <v>0</v>
      </c>
      <c r="D56" s="26"/>
      <c r="E56" s="89"/>
      <c r="F56" s="101"/>
      <c r="G56" s="39"/>
      <c r="H56" s="36"/>
      <c r="I56" s="36"/>
      <c r="J56" s="36"/>
    </row>
    <row r="57" spans="1:10">
      <c r="A57" s="2">
        <v>44</v>
      </c>
      <c r="B57" s="2" t="str">
        <f>Internal!B57</f>
        <v>A</v>
      </c>
      <c r="C57" s="112">
        <f>Internal!C57</f>
        <v>0</v>
      </c>
      <c r="D57" s="26"/>
      <c r="E57" s="89"/>
      <c r="F57" s="101"/>
      <c r="G57" s="39"/>
      <c r="H57" s="36"/>
      <c r="I57" s="36"/>
      <c r="J57" s="36"/>
    </row>
    <row r="58" spans="1:10">
      <c r="A58" s="2">
        <v>45</v>
      </c>
      <c r="B58" s="2" t="str">
        <f>Internal!B58</f>
        <v>A</v>
      </c>
      <c r="C58" s="112">
        <f>Internal!C58</f>
        <v>0</v>
      </c>
      <c r="D58" s="26"/>
      <c r="E58" s="89"/>
      <c r="F58" s="101"/>
      <c r="G58" s="39"/>
      <c r="H58" s="36"/>
      <c r="I58" s="36"/>
      <c r="J58" s="36"/>
    </row>
    <row r="59" spans="1:10">
      <c r="A59" s="2">
        <v>46</v>
      </c>
      <c r="B59" s="2" t="str">
        <f>Internal!B59</f>
        <v>A</v>
      </c>
      <c r="C59" s="112">
        <f>Internal!C59</f>
        <v>0</v>
      </c>
      <c r="D59" s="26"/>
      <c r="E59" s="89"/>
      <c r="F59" s="101"/>
      <c r="G59" s="39"/>
      <c r="H59" s="36"/>
      <c r="I59" s="36"/>
      <c r="J59" s="36"/>
    </row>
    <row r="60" spans="1:10">
      <c r="A60" s="2">
        <v>47</v>
      </c>
      <c r="B60" s="2" t="str">
        <f>Internal!B60</f>
        <v>A</v>
      </c>
      <c r="C60" s="112">
        <f>Internal!C60</f>
        <v>0</v>
      </c>
      <c r="D60" s="26"/>
      <c r="E60" s="89"/>
      <c r="F60" s="101"/>
      <c r="G60" s="39"/>
      <c r="H60" s="36"/>
      <c r="I60" s="36"/>
      <c r="J60" s="36"/>
    </row>
    <row r="61" spans="1:10">
      <c r="A61" s="2">
        <v>48</v>
      </c>
      <c r="B61" s="2" t="str">
        <f>Internal!B61</f>
        <v>A</v>
      </c>
      <c r="C61" s="112">
        <f>Internal!C61</f>
        <v>0</v>
      </c>
      <c r="D61" s="26"/>
      <c r="E61" s="89"/>
      <c r="F61" s="101"/>
      <c r="G61" s="39"/>
      <c r="H61" s="36"/>
      <c r="I61" s="36"/>
      <c r="J61" s="36"/>
    </row>
    <row r="62" spans="1:10">
      <c r="A62" s="2">
        <v>49</v>
      </c>
      <c r="B62" s="2" t="str">
        <f>Internal!B62</f>
        <v>A</v>
      </c>
      <c r="C62" s="112">
        <f>Internal!C62</f>
        <v>0</v>
      </c>
      <c r="D62" s="26"/>
      <c r="E62" s="89"/>
      <c r="F62" s="101"/>
      <c r="G62" s="39"/>
      <c r="H62" s="36"/>
      <c r="I62" s="36"/>
      <c r="J62" s="36"/>
    </row>
    <row r="63" spans="1:10">
      <c r="A63" s="2">
        <v>50</v>
      </c>
      <c r="B63" s="2" t="str">
        <f>Internal!B63</f>
        <v>A</v>
      </c>
      <c r="C63" s="112">
        <f>Internal!C63</f>
        <v>0</v>
      </c>
      <c r="D63" s="26"/>
      <c r="E63" s="89"/>
      <c r="F63" s="101"/>
      <c r="G63" s="39"/>
      <c r="H63" s="36"/>
      <c r="I63" s="36"/>
      <c r="J63" s="36"/>
    </row>
    <row r="64" spans="1:10">
      <c r="A64" s="2">
        <v>51</v>
      </c>
      <c r="B64" s="2" t="str">
        <f>Internal!B64</f>
        <v>A</v>
      </c>
      <c r="C64" s="112">
        <f>Internal!C64</f>
        <v>0</v>
      </c>
      <c r="D64" s="26"/>
      <c r="E64" s="89"/>
      <c r="F64" s="101"/>
      <c r="G64" s="39"/>
      <c r="H64" s="36"/>
      <c r="I64" s="36"/>
      <c r="J64" s="36"/>
    </row>
    <row r="65" spans="1:10">
      <c r="A65" s="2">
        <v>52</v>
      </c>
      <c r="B65" s="2" t="str">
        <f>Internal!B65</f>
        <v>A</v>
      </c>
      <c r="C65" s="112">
        <f>Internal!C65</f>
        <v>0</v>
      </c>
      <c r="D65" s="26"/>
      <c r="E65" s="89"/>
      <c r="F65" s="101"/>
      <c r="G65" s="39"/>
      <c r="H65" s="36"/>
      <c r="I65" s="36"/>
      <c r="J65" s="36"/>
    </row>
    <row r="66" spans="1:10">
      <c r="A66" s="2">
        <v>53</v>
      </c>
      <c r="B66" s="2" t="str">
        <f>Internal!B66</f>
        <v>A</v>
      </c>
      <c r="C66" s="112">
        <f>Internal!C66</f>
        <v>0</v>
      </c>
      <c r="D66" s="26"/>
      <c r="E66" s="89"/>
      <c r="F66" s="101"/>
      <c r="G66" s="39"/>
      <c r="H66" s="36"/>
      <c r="I66" s="36"/>
      <c r="J66" s="36"/>
    </row>
    <row r="67" spans="1:10">
      <c r="A67" s="2">
        <v>54</v>
      </c>
      <c r="B67" s="2" t="str">
        <f>Internal!B67</f>
        <v>A</v>
      </c>
      <c r="C67" s="112">
        <f>Internal!C67</f>
        <v>0</v>
      </c>
      <c r="D67" s="26"/>
      <c r="E67" s="89"/>
      <c r="F67" s="101"/>
      <c r="G67" s="39"/>
      <c r="H67" s="36"/>
      <c r="I67" s="36"/>
      <c r="J67" s="36"/>
    </row>
    <row r="68" spans="1:10">
      <c r="A68" s="2">
        <v>55</v>
      </c>
      <c r="B68" s="2" t="str">
        <f>Internal!B68</f>
        <v>A</v>
      </c>
      <c r="C68" s="112">
        <f>Internal!C68</f>
        <v>0</v>
      </c>
      <c r="D68" s="26"/>
      <c r="E68" s="89"/>
      <c r="F68" s="101"/>
      <c r="G68" s="39"/>
      <c r="H68" s="36"/>
      <c r="I68" s="36"/>
      <c r="J68" s="36"/>
    </row>
    <row r="69" spans="1:10">
      <c r="A69" s="2">
        <v>56</v>
      </c>
      <c r="B69" s="2" t="str">
        <f>Internal!B69</f>
        <v>A</v>
      </c>
      <c r="C69" s="112">
        <f>Internal!C69</f>
        <v>0</v>
      </c>
      <c r="D69" s="26"/>
      <c r="E69" s="89"/>
      <c r="F69" s="101"/>
      <c r="G69" s="39"/>
      <c r="H69" s="36"/>
      <c r="I69" s="36"/>
      <c r="J69" s="36"/>
    </row>
    <row r="70" spans="1:10">
      <c r="A70" s="2">
        <v>57</v>
      </c>
      <c r="B70" s="2" t="str">
        <f>Internal!B70</f>
        <v>A</v>
      </c>
      <c r="C70" s="112">
        <f>Internal!C70</f>
        <v>0</v>
      </c>
      <c r="D70" s="26"/>
      <c r="E70" s="89"/>
      <c r="F70" s="101"/>
      <c r="G70" s="39"/>
      <c r="H70" s="36"/>
      <c r="I70" s="36"/>
      <c r="J70" s="36"/>
    </row>
    <row r="71" spans="1:10">
      <c r="A71" s="2">
        <v>58</v>
      </c>
      <c r="B71" s="2" t="str">
        <f>Internal!B71</f>
        <v>A</v>
      </c>
      <c r="C71" s="112">
        <f>Internal!C71</f>
        <v>0</v>
      </c>
      <c r="D71" s="26"/>
      <c r="E71" s="89"/>
      <c r="F71" s="101"/>
      <c r="G71" s="39"/>
      <c r="H71" s="36"/>
      <c r="I71" s="36"/>
      <c r="J71" s="36"/>
    </row>
    <row r="72" spans="1:10">
      <c r="A72" s="2">
        <v>59</v>
      </c>
      <c r="B72" s="2" t="str">
        <f>Internal!B72</f>
        <v>A</v>
      </c>
      <c r="C72" s="112">
        <f>Internal!C72</f>
        <v>0</v>
      </c>
      <c r="D72" s="26"/>
      <c r="E72" s="89"/>
      <c r="F72" s="101"/>
      <c r="G72" s="39"/>
      <c r="H72" s="36"/>
      <c r="I72" s="36"/>
      <c r="J72" s="36"/>
    </row>
    <row r="73" spans="1:10">
      <c r="A73" s="2">
        <v>60</v>
      </c>
      <c r="B73" s="2" t="str">
        <f>Internal!B73</f>
        <v>A</v>
      </c>
      <c r="C73" s="112">
        <f>Internal!C73</f>
        <v>0</v>
      </c>
      <c r="D73" s="26"/>
      <c r="E73" s="89"/>
      <c r="F73" s="101"/>
      <c r="G73" s="39"/>
      <c r="H73" s="36"/>
      <c r="I73" s="36"/>
      <c r="J73" s="36"/>
    </row>
    <row r="74" spans="1:10">
      <c r="A74" s="2">
        <v>61</v>
      </c>
      <c r="B74" s="2" t="str">
        <f>Internal!B74</f>
        <v>A</v>
      </c>
      <c r="C74" s="112">
        <f>Internal!C74</f>
        <v>0</v>
      </c>
      <c r="D74" s="26"/>
      <c r="E74" s="89"/>
      <c r="F74" s="101"/>
      <c r="G74" s="39"/>
      <c r="H74" s="36"/>
      <c r="I74" s="36"/>
      <c r="J74" s="36"/>
    </row>
    <row r="75" spans="1:10">
      <c r="A75" s="2">
        <v>62</v>
      </c>
      <c r="B75" s="2" t="str">
        <f>Internal!B75</f>
        <v>A</v>
      </c>
      <c r="C75" s="112">
        <f>Internal!C75</f>
        <v>0</v>
      </c>
      <c r="D75" s="26"/>
      <c r="E75" s="89"/>
      <c r="F75" s="101"/>
      <c r="G75" s="39"/>
      <c r="H75" s="36"/>
      <c r="I75" s="36"/>
      <c r="J75" s="36"/>
    </row>
    <row r="76" spans="1:10">
      <c r="A76" s="2">
        <v>63</v>
      </c>
      <c r="B76" s="2" t="str">
        <f>Internal!B76</f>
        <v>A</v>
      </c>
      <c r="C76" s="112">
        <f>Internal!C76</f>
        <v>0</v>
      </c>
      <c r="D76" s="26"/>
      <c r="E76" s="89"/>
      <c r="F76" s="101"/>
      <c r="G76" s="39"/>
      <c r="H76" s="36"/>
      <c r="I76" s="36"/>
      <c r="J76" s="36"/>
    </row>
    <row r="77" spans="1:10">
      <c r="A77" s="2">
        <v>64</v>
      </c>
      <c r="B77" s="2" t="str">
        <f>Internal!B77</f>
        <v>A</v>
      </c>
      <c r="C77" s="112">
        <f>Internal!C77</f>
        <v>0</v>
      </c>
      <c r="D77" s="26"/>
      <c r="E77" s="89"/>
      <c r="F77" s="101"/>
      <c r="G77" s="39"/>
      <c r="H77" s="36"/>
      <c r="I77" s="36"/>
      <c r="J77" s="36"/>
    </row>
    <row r="78" spans="1:10">
      <c r="A78" s="2">
        <v>65</v>
      </c>
      <c r="B78" s="2" t="str">
        <f>Internal!B78</f>
        <v>A</v>
      </c>
      <c r="C78" s="112">
        <f>Internal!C78</f>
        <v>0</v>
      </c>
      <c r="D78" s="26"/>
      <c r="E78" s="89"/>
      <c r="F78" s="101"/>
      <c r="G78" s="39"/>
      <c r="H78" s="36"/>
      <c r="I78" s="36"/>
      <c r="J78" s="36"/>
    </row>
    <row r="79" spans="1:10">
      <c r="A79" s="2">
        <v>66</v>
      </c>
      <c r="B79" s="2" t="str">
        <f>Internal!B79</f>
        <v>A</v>
      </c>
      <c r="C79" s="112">
        <f>Internal!C79</f>
        <v>0</v>
      </c>
      <c r="D79" s="26"/>
      <c r="E79" s="89"/>
      <c r="F79" s="101"/>
      <c r="G79" s="39"/>
      <c r="H79" s="36"/>
      <c r="I79" s="36"/>
      <c r="J79" s="36"/>
    </row>
    <row r="80" spans="1:10">
      <c r="A80" s="2">
        <v>67</v>
      </c>
      <c r="B80" s="2" t="str">
        <f>Internal!B80</f>
        <v>A</v>
      </c>
      <c r="C80" s="112">
        <f>Internal!C80</f>
        <v>0</v>
      </c>
      <c r="D80" s="26"/>
      <c r="E80" s="89"/>
      <c r="F80" s="101"/>
      <c r="G80" s="39"/>
      <c r="H80" s="36"/>
      <c r="I80" s="36"/>
      <c r="J80" s="36"/>
    </row>
    <row r="81" spans="1:10">
      <c r="A81" s="2">
        <v>68</v>
      </c>
      <c r="B81" s="2" t="str">
        <f>Internal!B81</f>
        <v>A</v>
      </c>
      <c r="C81" s="112">
        <f>Internal!C81</f>
        <v>0</v>
      </c>
      <c r="D81" s="26"/>
      <c r="E81" s="89"/>
      <c r="F81" s="101"/>
      <c r="G81" s="39"/>
      <c r="H81" s="36"/>
      <c r="I81" s="36"/>
      <c r="J81" s="36"/>
    </row>
    <row r="82" spans="1:10">
      <c r="A82" s="2">
        <v>69</v>
      </c>
      <c r="B82" s="2" t="str">
        <f>Internal!B82</f>
        <v>A</v>
      </c>
      <c r="C82" s="112">
        <f>Internal!C82</f>
        <v>0</v>
      </c>
      <c r="D82" s="26"/>
      <c r="E82" s="89"/>
      <c r="F82" s="101"/>
      <c r="G82" s="39"/>
      <c r="H82" s="36"/>
      <c r="I82" s="36"/>
      <c r="J82" s="36"/>
    </row>
    <row r="83" spans="1:10">
      <c r="A83" s="2">
        <v>70</v>
      </c>
      <c r="B83" s="2" t="str">
        <f>Internal!B83</f>
        <v>A</v>
      </c>
      <c r="C83" s="112">
        <f>Internal!C83</f>
        <v>0</v>
      </c>
      <c r="D83" s="26"/>
      <c r="E83" s="89"/>
      <c r="F83" s="101"/>
      <c r="G83" s="39"/>
      <c r="H83" s="36"/>
      <c r="I83" s="36"/>
      <c r="J83" s="36"/>
    </row>
    <row r="84" spans="1:10">
      <c r="A84" s="2">
        <v>71</v>
      </c>
      <c r="B84" s="2" t="str">
        <f>Internal!B84</f>
        <v>A</v>
      </c>
      <c r="C84" s="112">
        <f>Internal!C84</f>
        <v>0</v>
      </c>
      <c r="D84" s="26"/>
      <c r="E84" s="89"/>
      <c r="F84" s="101"/>
      <c r="G84" s="39"/>
      <c r="H84" s="36"/>
      <c r="I84" s="36"/>
      <c r="J84" s="36"/>
    </row>
    <row r="85" spans="1:10">
      <c r="A85" s="2">
        <v>72</v>
      </c>
      <c r="B85" s="2" t="str">
        <f>Internal!B85</f>
        <v>A</v>
      </c>
      <c r="C85" s="112">
        <f>Internal!C85</f>
        <v>0</v>
      </c>
      <c r="D85" s="26"/>
      <c r="E85" s="89"/>
      <c r="F85" s="101"/>
      <c r="G85" s="39"/>
      <c r="H85" s="36"/>
      <c r="I85" s="36"/>
      <c r="J85" s="36"/>
    </row>
    <row r="86" spans="1:10">
      <c r="A86" s="2">
        <v>73</v>
      </c>
      <c r="B86" s="2" t="str">
        <f>Internal!B86</f>
        <v>A</v>
      </c>
      <c r="C86" s="112">
        <f>Internal!C86</f>
        <v>0</v>
      </c>
      <c r="D86" s="26"/>
      <c r="E86" s="89"/>
      <c r="F86" s="101"/>
      <c r="G86" s="39"/>
      <c r="H86" s="36"/>
      <c r="I86" s="36"/>
      <c r="J86" s="36"/>
    </row>
    <row r="87" spans="1:10">
      <c r="A87" s="2">
        <v>74</v>
      </c>
      <c r="B87" s="2" t="str">
        <f>Internal!B87</f>
        <v>A</v>
      </c>
      <c r="C87" s="112">
        <f>Internal!C87</f>
        <v>0</v>
      </c>
      <c r="D87" s="26"/>
      <c r="E87" s="89"/>
      <c r="F87" s="101"/>
      <c r="G87" s="39"/>
      <c r="H87" s="36"/>
      <c r="I87" s="36"/>
      <c r="J87" s="36"/>
    </row>
    <row r="88" spans="1:10">
      <c r="A88" s="2">
        <v>75</v>
      </c>
      <c r="B88" s="2" t="str">
        <f>Internal!B88</f>
        <v>A</v>
      </c>
      <c r="C88" s="112">
        <f>Internal!C88</f>
        <v>0</v>
      </c>
      <c r="D88" s="26"/>
      <c r="E88" s="89"/>
      <c r="F88" s="101"/>
      <c r="G88" s="39"/>
      <c r="H88" s="36"/>
      <c r="I88" s="36"/>
      <c r="J88" s="36"/>
    </row>
    <row r="89" spans="1:10">
      <c r="A89" s="2">
        <v>76</v>
      </c>
      <c r="B89" s="2" t="str">
        <f>Internal!B89</f>
        <v>A</v>
      </c>
      <c r="C89" s="112">
        <f>Internal!C89</f>
        <v>0</v>
      </c>
      <c r="D89" s="26"/>
      <c r="E89" s="89"/>
      <c r="F89" s="101"/>
      <c r="G89" s="39"/>
      <c r="H89" s="36"/>
      <c r="I89" s="36"/>
      <c r="J89" s="36"/>
    </row>
    <row r="90" spans="1:10">
      <c r="A90" s="2">
        <v>77</v>
      </c>
      <c r="B90" s="2" t="str">
        <f>Internal!B90</f>
        <v>A</v>
      </c>
      <c r="C90" s="112">
        <f>Internal!C90</f>
        <v>0</v>
      </c>
      <c r="D90" s="26"/>
      <c r="E90" s="89"/>
      <c r="F90" s="101"/>
      <c r="G90" s="39"/>
      <c r="H90" s="36"/>
      <c r="I90" s="36"/>
      <c r="J90" s="36"/>
    </row>
    <row r="91" spans="1:10">
      <c r="A91" s="2">
        <v>78</v>
      </c>
      <c r="B91" s="2" t="str">
        <f>Internal!B91</f>
        <v>A</v>
      </c>
      <c r="C91" s="112">
        <f>Internal!C91</f>
        <v>0</v>
      </c>
      <c r="D91" s="26"/>
      <c r="E91" s="89"/>
      <c r="F91" s="101"/>
      <c r="G91" s="39"/>
      <c r="H91" s="36"/>
      <c r="I91" s="36"/>
      <c r="J91" s="36"/>
    </row>
    <row r="92" spans="1:10">
      <c r="A92" s="2">
        <v>79</v>
      </c>
      <c r="B92" s="2" t="str">
        <f>Internal!B92</f>
        <v>A</v>
      </c>
      <c r="C92" s="112">
        <f>Internal!C92</f>
        <v>0</v>
      </c>
      <c r="D92" s="26"/>
      <c r="E92" s="89"/>
      <c r="F92" s="101"/>
      <c r="G92" s="39"/>
      <c r="H92" s="36"/>
      <c r="I92" s="36"/>
      <c r="J92" s="36"/>
    </row>
    <row r="93" spans="1:10">
      <c r="A93" s="2">
        <v>80</v>
      </c>
      <c r="B93" s="2" t="str">
        <f>Internal!B93</f>
        <v>A</v>
      </c>
      <c r="C93" s="112">
        <f>Internal!C93</f>
        <v>0</v>
      </c>
      <c r="D93" s="26"/>
      <c r="E93" s="89"/>
      <c r="F93" s="101"/>
      <c r="G93" s="39"/>
      <c r="H93" s="36"/>
      <c r="I93" s="36"/>
      <c r="J93" s="36"/>
    </row>
    <row r="94" spans="1:10">
      <c r="G94" s="37" t="s">
        <v>18</v>
      </c>
      <c r="H94" s="32">
        <f>SUM(H14:H93)</f>
        <v>8</v>
      </c>
      <c r="I94" s="32">
        <f>SUM(I14:I93)</f>
        <v>7</v>
      </c>
      <c r="J94" s="32">
        <f>SUM(J14:J93)</f>
        <v>3</v>
      </c>
    </row>
    <row r="95" spans="1:10">
      <c r="G95" s="37" t="s">
        <v>19</v>
      </c>
      <c r="H95" s="32">
        <f>IF($E$13=0,0,ROUND((H94*100)/$E$13,2))</f>
        <v>26.67</v>
      </c>
      <c r="I95" s="32">
        <f>IF($E$13=0,0,ROUND((I94*100)/$E$13,2))</f>
        <v>23.33</v>
      </c>
      <c r="J95" s="32">
        <f>IF($E$13=0,0,ROUND((J94*100)/$E$13,2))</f>
        <v>10</v>
      </c>
    </row>
    <row r="96" spans="1:10" ht="15.75">
      <c r="G96" s="23" t="s">
        <v>20</v>
      </c>
      <c r="H96" s="192">
        <f>IF($G$13=0,"NOT APPLICABLE",ROUND((H95+2*I95+3*J95)/3,2))</f>
        <v>34.44</v>
      </c>
      <c r="I96" s="192"/>
      <c r="J96" s="192"/>
    </row>
  </sheetData>
  <protectedRanges>
    <protectedRange sqref="E14:F93" name="Range1"/>
  </protectedRanges>
  <mergeCells count="27">
    <mergeCell ref="A1:J1"/>
    <mergeCell ref="A2:J2"/>
    <mergeCell ref="H96:J96"/>
    <mergeCell ref="H11:J11"/>
    <mergeCell ref="A8:C8"/>
    <mergeCell ref="D8:J8"/>
    <mergeCell ref="A9:C9"/>
    <mergeCell ref="D9:J9"/>
    <mergeCell ref="A4:D4"/>
    <mergeCell ref="E4:J4"/>
    <mergeCell ref="A13:D13"/>
    <mergeCell ref="A5:C5"/>
    <mergeCell ref="D5:J5"/>
    <mergeCell ref="A6:C6"/>
    <mergeCell ref="D6:J6"/>
    <mergeCell ref="A3:D3"/>
    <mergeCell ref="E3:J3"/>
    <mergeCell ref="A7:C7"/>
    <mergeCell ref="D7:J7"/>
    <mergeCell ref="H10:J10"/>
    <mergeCell ref="G10:G12"/>
    <mergeCell ref="A10:A12"/>
    <mergeCell ref="B10:B12"/>
    <mergeCell ref="C10:C12"/>
    <mergeCell ref="D10:D12"/>
    <mergeCell ref="E10:E12"/>
    <mergeCell ref="F10:F12"/>
  </mergeCells>
  <conditionalFormatting sqref="H94:J95">
    <cfRule type="expression" dxfId="11" priority="27">
      <formula>$E94="A"</formula>
    </cfRule>
  </conditionalFormatting>
  <conditionalFormatting sqref="A14:J93">
    <cfRule type="expression" dxfId="10" priority="19">
      <formula>$E14="A"</formula>
    </cfRule>
  </conditionalFormatting>
  <conditionalFormatting sqref="H94:J95">
    <cfRule type="expression" dxfId="9" priority="13">
      <formula>$E94="A"</formula>
    </cfRule>
  </conditionalFormatting>
  <conditionalFormatting sqref="G14">
    <cfRule type="expression" dxfId="8" priority="45">
      <formula>$G14:$G71="ERROR"</formula>
    </cfRule>
  </conditionalFormatting>
  <conditionalFormatting sqref="G15">
    <cfRule type="expression" dxfId="7" priority="49">
      <formula>$G15:$G94="ERROR"</formula>
    </cfRule>
  </conditionalFormatting>
  <conditionalFormatting sqref="G93">
    <cfRule type="expression" dxfId="6" priority="50">
      <formula>$G93:$G170="ERROR"</formula>
    </cfRule>
  </conditionalFormatting>
  <conditionalFormatting sqref="G16:G93">
    <cfRule type="expression" dxfId="5" priority="51">
      <formula>$G16:$G94="ERROR"</formula>
    </cfRule>
  </conditionalFormatting>
  <conditionalFormatting sqref="F39 F30">
    <cfRule type="cellIs" dxfId="4" priority="2" operator="lessThan">
      <formula>30</formula>
    </cfRule>
  </conditionalFormatting>
  <conditionalFormatting sqref="F14:F43">
    <cfRule type="cellIs" dxfId="3" priority="1" operator="lessThan">
      <formula>30</formula>
    </cfRule>
  </conditionalFormatting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9"/>
  <sheetViews>
    <sheetView tabSelected="1" topLeftCell="A16" workbookViewId="0">
      <selection activeCell="C8" sqref="C8:G8"/>
    </sheetView>
  </sheetViews>
  <sheetFormatPr defaultRowHeight="15"/>
  <cols>
    <col min="1" max="1" width="6.5703125" bestFit="1" customWidth="1"/>
    <col min="2" max="2" width="35.28515625" style="1" customWidth="1"/>
    <col min="3" max="7" width="22.7109375" customWidth="1"/>
  </cols>
  <sheetData>
    <row r="1" spans="1:7" ht="18.75">
      <c r="A1" s="222" t="s">
        <v>148</v>
      </c>
      <c r="B1" s="223"/>
      <c r="C1" s="223"/>
      <c r="D1" s="223"/>
      <c r="E1" s="223"/>
      <c r="F1" s="223"/>
      <c r="G1" s="223"/>
    </row>
    <row r="2" spans="1:7" ht="18.75">
      <c r="A2" s="132" t="s">
        <v>151</v>
      </c>
      <c r="B2" s="132"/>
      <c r="C2" s="132"/>
      <c r="D2" s="132"/>
      <c r="E2" s="132"/>
      <c r="F2" s="132"/>
      <c r="G2" s="132"/>
    </row>
    <row r="3" spans="1:7" s="3" customFormat="1" ht="26.25" customHeight="1">
      <c r="A3" s="226" t="str">
        <f>'DATA INPUT SHEET'!A3:E3</f>
        <v>Semester: III</v>
      </c>
      <c r="B3" s="227"/>
      <c r="C3" s="227" t="str">
        <f>'DATA INPUT SHEET'!E3</f>
        <v>Name of the Faculty: Dr. Prateek Gangwar</v>
      </c>
      <c r="D3" s="227"/>
      <c r="E3" s="227"/>
      <c r="F3" s="227"/>
      <c r="G3" s="227"/>
    </row>
    <row r="4" spans="1:7" ht="38.25" customHeight="1">
      <c r="A4" s="132" t="str">
        <f>'DATA INPUT SHEET'!A4:E4</f>
        <v>Subject Code: BME-303</v>
      </c>
      <c r="B4" s="132"/>
      <c r="C4" s="222" t="str">
        <f>'DATA INPUT SHEET'!F4</f>
        <v>Total No. of Students: 18</v>
      </c>
      <c r="D4" s="225"/>
      <c r="E4" s="132" t="str">
        <f>'DATA INPUT SHEET'!K4</f>
        <v>Subject Name:Materials Engineering</v>
      </c>
      <c r="F4" s="132"/>
      <c r="G4" s="132"/>
    </row>
    <row r="5" spans="1:7" s="12" customFormat="1" ht="30" customHeight="1">
      <c r="A5" s="198" t="str">
        <f>'DATA INPUT SHEET'!A9:C9</f>
        <v>CO1</v>
      </c>
      <c r="B5" s="198"/>
      <c r="C5" s="224" t="str">
        <f>'DATA INPUT SHEET'!D9</f>
        <v>Student will be able to identify crystal structures for various materials and understand the defects in such structures</v>
      </c>
      <c r="D5" s="224"/>
      <c r="E5" s="224"/>
      <c r="F5" s="224"/>
      <c r="G5" s="224"/>
    </row>
    <row r="6" spans="1:7" s="12" customFormat="1" ht="30" customHeight="1">
      <c r="A6" s="198" t="str">
        <f>'DATA INPUT SHEET'!A10:C10</f>
        <v>CO2</v>
      </c>
      <c r="B6" s="198"/>
      <c r="C6" s="195" t="str">
        <f>'DATA INPUT SHEET'!D10</f>
        <v>Understand how to tailor material properties of ferrous and non-ferrous alloys.</v>
      </c>
      <c r="D6" s="196"/>
      <c r="E6" s="196"/>
      <c r="F6" s="196"/>
      <c r="G6" s="197"/>
    </row>
    <row r="7" spans="1:7" s="12" customFormat="1" ht="30" customHeight="1">
      <c r="A7" s="198" t="str">
        <f>'DATA INPUT SHEET'!A11:C11</f>
        <v>CO3</v>
      </c>
      <c r="B7" s="198"/>
      <c r="C7" s="195" t="str">
        <f>'DATA INPUT SHEET'!D11</f>
        <v>To understand method of Grinding &amp; Superfinishing for betterment of the manufacturing product.</v>
      </c>
      <c r="D7" s="196"/>
      <c r="E7" s="196"/>
      <c r="F7" s="196"/>
      <c r="G7" s="197"/>
    </row>
    <row r="8" spans="1:7" s="12" customFormat="1" ht="30" customHeight="1">
      <c r="A8" s="198" t="str">
        <f>'DATA INPUT SHEET'!A12:C12</f>
        <v>CO4</v>
      </c>
      <c r="B8" s="198"/>
      <c r="C8" s="195" t="str">
        <f>'DATA INPUT SHEET'!D12</f>
        <v>To learn various hardness test.</v>
      </c>
      <c r="D8" s="196"/>
      <c r="E8" s="196"/>
      <c r="F8" s="196"/>
      <c r="G8" s="197"/>
    </row>
    <row r="9" spans="1:7" s="12" customFormat="1" ht="30" customHeight="1">
      <c r="A9" s="198" t="str">
        <f>'DATA INPUT SHEET'!A13:C13</f>
        <v>CO5</v>
      </c>
      <c r="B9" s="198"/>
      <c r="C9" s="195" t="str">
        <f>'DATA INPUT SHEET'!D13</f>
        <v>Basic knowledge of NDT.</v>
      </c>
      <c r="D9" s="196"/>
      <c r="E9" s="196"/>
      <c r="F9" s="196"/>
      <c r="G9" s="197"/>
    </row>
    <row r="10" spans="1:7">
      <c r="A10" s="10"/>
      <c r="B10" s="10"/>
      <c r="C10" s="11"/>
      <c r="D10" s="11"/>
      <c r="E10" s="11"/>
      <c r="F10" s="11"/>
      <c r="G10" s="11"/>
    </row>
    <row r="11" spans="1:7">
      <c r="A11" s="194" t="s">
        <v>67</v>
      </c>
      <c r="B11" s="194"/>
      <c r="C11" s="194"/>
      <c r="D11" s="194"/>
      <c r="E11" s="194"/>
      <c r="F11" s="194"/>
      <c r="G11" s="194"/>
    </row>
    <row r="12" spans="1:7">
      <c r="A12" s="40" t="s">
        <v>48</v>
      </c>
      <c r="B12" s="40" t="s">
        <v>66</v>
      </c>
      <c r="C12" s="40" t="s">
        <v>3</v>
      </c>
      <c r="D12" s="40" t="s">
        <v>4</v>
      </c>
      <c r="E12" s="40" t="s">
        <v>5</v>
      </c>
      <c r="F12" s="40" t="s">
        <v>7</v>
      </c>
      <c r="G12" s="40" t="s">
        <v>8</v>
      </c>
    </row>
    <row r="13" spans="1:7">
      <c r="A13" s="40">
        <v>1</v>
      </c>
      <c r="B13" s="46" t="s">
        <v>145</v>
      </c>
      <c r="C13" s="40">
        <f>Internal!I96</f>
        <v>57.78</v>
      </c>
      <c r="D13" s="40">
        <f>Internal!I96</f>
        <v>57.78</v>
      </c>
      <c r="E13" s="40">
        <f>Internal!I96</f>
        <v>57.78</v>
      </c>
      <c r="F13" s="40">
        <f>Internal!I96</f>
        <v>57.78</v>
      </c>
      <c r="G13" s="40">
        <f>Internal!I96</f>
        <v>57.78</v>
      </c>
    </row>
    <row r="14" spans="1:7">
      <c r="A14" s="199" t="s">
        <v>68</v>
      </c>
      <c r="B14" s="200"/>
      <c r="C14" s="47">
        <f>IF(SUMPRODUCT(--(C13:C13&lt;&gt;"NOT APPLICABLE"))=0,"NOT APPLICABLE",ROUND(AVERAGE(C13:C13),2))</f>
        <v>57.78</v>
      </c>
      <c r="D14" s="47">
        <f>IF(SUMPRODUCT(--(D13:D13&lt;&gt;"NOT APPLICABLE"))=0,"NOT APPLICABLE",ROUND(AVERAGE(D13:D13),2))</f>
        <v>57.78</v>
      </c>
      <c r="E14" s="47">
        <f>IF(SUMPRODUCT(--(E13:E13&lt;&gt;"NOT APPLICABLE"))=0,"NOT APPLICABLE",ROUND(AVERAGE(E13:E13),2))</f>
        <v>57.78</v>
      </c>
      <c r="F14" s="47">
        <f>IF(SUMPRODUCT(--(F13:F13&lt;&gt;"NOT APPLICABLE"))=0,"NOT APPLICABLE",ROUND(AVERAGE(F13:F13),2))</f>
        <v>57.78</v>
      </c>
      <c r="G14" s="47">
        <f>IF(SUMPRODUCT(--(G13:G13&lt;&gt;"NOT APPLICABLE"))=0,"NOT APPLICABLE",ROUND(AVERAGE(G13:G13),2))</f>
        <v>57.78</v>
      </c>
    </row>
    <row r="15" spans="1:7">
      <c r="A15" s="48"/>
      <c r="B15" s="49"/>
      <c r="C15" s="50"/>
      <c r="D15" s="50"/>
      <c r="E15" s="50"/>
      <c r="F15" s="50"/>
      <c r="G15" s="50"/>
    </row>
    <row r="16" spans="1:7">
      <c r="A16" s="194" t="s">
        <v>74</v>
      </c>
      <c r="B16" s="194"/>
      <c r="C16" s="194"/>
      <c r="D16" s="194"/>
      <c r="E16" s="194"/>
      <c r="F16" s="194"/>
      <c r="G16" s="4"/>
    </row>
    <row r="17" spans="1:7" ht="51.75">
      <c r="A17" s="42" t="s">
        <v>69</v>
      </c>
      <c r="B17" s="42" t="s">
        <v>37</v>
      </c>
      <c r="C17" s="51" t="s">
        <v>70</v>
      </c>
      <c r="D17" s="52" t="s">
        <v>71</v>
      </c>
      <c r="E17" s="52" t="s">
        <v>72</v>
      </c>
      <c r="F17" s="53" t="s">
        <v>73</v>
      </c>
    </row>
    <row r="18" spans="1:7">
      <c r="A18" s="54">
        <v>1</v>
      </c>
      <c r="B18" s="55" t="s">
        <v>3</v>
      </c>
      <c r="C18" s="56">
        <f>C14</f>
        <v>57.78</v>
      </c>
      <c r="D18" s="57">
        <f>IF(C18="NOT APPLICABLE","NOT APPLICABLE",UNIVERSITY!$H$96)</f>
        <v>34.44</v>
      </c>
      <c r="E18" s="57">
        <f>IF(C18="NOT APPLICABLE","NOT APPLICABLE",Indirect!J22)</f>
        <v>76.608187134502927</v>
      </c>
      <c r="F18" s="58">
        <v>60</v>
      </c>
    </row>
    <row r="19" spans="1:7">
      <c r="A19" s="54">
        <v>2</v>
      </c>
      <c r="B19" s="55" t="s">
        <v>4</v>
      </c>
      <c r="C19" s="56">
        <f>D14</f>
        <v>57.78</v>
      </c>
      <c r="D19" s="57">
        <f>IF(C19="NOT APPLICABLE","NOT APPLICABLE",UNIVERSITY!$H$96)</f>
        <v>34.44</v>
      </c>
      <c r="E19" s="57">
        <f>IF(C19="NOT APPLICABLE","NOT APPLICABLE",Indirect!J23)</f>
        <v>83.040935672514621</v>
      </c>
      <c r="F19" s="58">
        <f>IF(C19="NOT APPLICABLE","NOT APPLICABLE",F18)</f>
        <v>60</v>
      </c>
    </row>
    <row r="20" spans="1:7">
      <c r="A20" s="54">
        <v>3</v>
      </c>
      <c r="B20" s="55" t="s">
        <v>5</v>
      </c>
      <c r="C20" s="56">
        <f>E14</f>
        <v>57.78</v>
      </c>
      <c r="D20" s="57">
        <f>IF(C20="NOT APPLICABLE","NOT APPLICABLE",UNIVERSITY!$H$96)</f>
        <v>34.44</v>
      </c>
      <c r="E20" s="57">
        <f>IF(C20="NOT APPLICABLE","NOT APPLICABLE",Indirect!J24)</f>
        <v>83.040935672514621</v>
      </c>
      <c r="F20" s="58">
        <f>IF(C20="NOT APPLICABLE","NOT APPLICABLE",F19)</f>
        <v>60</v>
      </c>
    </row>
    <row r="21" spans="1:7">
      <c r="A21" s="54">
        <v>4</v>
      </c>
      <c r="B21" s="55" t="s">
        <v>7</v>
      </c>
      <c r="C21" s="56">
        <f>F14</f>
        <v>57.78</v>
      </c>
      <c r="D21" s="57">
        <f>IF(C21="NOT APPLICABLE","NOT APPLICABLE",UNIVERSITY!$H$96)</f>
        <v>34.44</v>
      </c>
      <c r="E21" s="57">
        <f>IF(C21="NOT APPLICABLE","NOT APPLICABLE",Indirect!J25)</f>
        <v>78.94736842105263</v>
      </c>
      <c r="F21" s="58">
        <f>IF(C21="NOT APPLICABLE","NOT APPLICABLE",F20)</f>
        <v>60</v>
      </c>
    </row>
    <row r="22" spans="1:7">
      <c r="A22" s="54">
        <v>5</v>
      </c>
      <c r="B22" s="55" t="s">
        <v>8</v>
      </c>
      <c r="C22" s="56">
        <f>G14</f>
        <v>57.78</v>
      </c>
      <c r="D22" s="57">
        <f>IF(C22="NOT APPLICABLE","NOT APPLICABLE",UNIVERSITY!$H$96)</f>
        <v>34.44</v>
      </c>
      <c r="E22" s="57">
        <f>IF(C22="NOT APPLICABLE","NOT APPLICABLE",Indirect!J26)</f>
        <v>81.286549707602347</v>
      </c>
      <c r="F22" s="58">
        <f>IF(C22="NOT APPLICABLE","NOT APPLICABLE",F21)</f>
        <v>60</v>
      </c>
    </row>
    <row r="23" spans="1:7">
      <c r="A23" s="201" t="s">
        <v>74</v>
      </c>
      <c r="B23" s="202"/>
      <c r="C23" s="56">
        <f>IF(SUMPRODUCT(--(C18:C22&lt;&gt;"NOT APPLICABLE"))=0,"NOT APPLICABLE",ROUND(AVERAGE(C18:C22),2))</f>
        <v>57.78</v>
      </c>
      <c r="D23" s="56">
        <f>IF(SUMPRODUCT(--(D18:D22&lt;&gt;"NOT APPLICABLE"))=0,"NOT APPLICABLE",ROUND(AVERAGE(D18:D22),2))</f>
        <v>34.44</v>
      </c>
      <c r="E23" s="56">
        <f>IF(SUMPRODUCT(--(E18:E22&lt;&gt;"NOT APPLICABLE"))=0,"NOT APPLICABLE",ROUND(AVERAGE(E18:E22),2))</f>
        <v>80.58</v>
      </c>
      <c r="F23" s="56">
        <f>IF(SUMPRODUCT(--(F18:F22&lt;&gt;"NOT APPLICABLE"))=0,"NOT APPLICABLE",ROUND(AVERAGE(F18:F22),2))</f>
        <v>60</v>
      </c>
    </row>
    <row r="24" spans="1:7">
      <c r="A24" s="48"/>
      <c r="B24" s="49"/>
      <c r="C24" s="50"/>
      <c r="D24" s="50"/>
      <c r="E24" s="50"/>
      <c r="F24" s="50"/>
      <c r="G24" s="50"/>
    </row>
    <row r="25" spans="1:7">
      <c r="A25" s="48"/>
      <c r="B25" s="205" t="s">
        <v>75</v>
      </c>
      <c r="C25" s="205"/>
      <c r="D25" s="205"/>
      <c r="E25" s="205"/>
      <c r="F25" s="50"/>
      <c r="G25" s="50"/>
    </row>
    <row r="26" spans="1:7">
      <c r="A26" s="48"/>
      <c r="B26" s="207" t="s">
        <v>76</v>
      </c>
      <c r="C26" s="207"/>
      <c r="D26" s="207"/>
      <c r="E26" s="59">
        <v>0.8</v>
      </c>
      <c r="F26" s="50"/>
      <c r="G26" s="50"/>
    </row>
    <row r="27" spans="1:7">
      <c r="A27" s="48"/>
      <c r="B27" s="207" t="s">
        <v>77</v>
      </c>
      <c r="C27" s="207"/>
      <c r="D27" s="207"/>
      <c r="E27" s="59">
        <v>0.6</v>
      </c>
      <c r="F27" s="50"/>
      <c r="G27" s="50"/>
    </row>
    <row r="28" spans="1:7">
      <c r="A28" s="48"/>
      <c r="B28" s="207" t="s">
        <v>78</v>
      </c>
      <c r="C28" s="207"/>
      <c r="D28" s="207"/>
      <c r="E28" s="59">
        <v>0.4</v>
      </c>
      <c r="F28" s="50"/>
      <c r="G28" s="50"/>
    </row>
    <row r="29" spans="1:7">
      <c r="A29" s="48"/>
      <c r="B29" s="207" t="s">
        <v>79</v>
      </c>
      <c r="C29" s="207"/>
      <c r="D29" s="207"/>
      <c r="E29" s="59">
        <v>0.2</v>
      </c>
      <c r="F29" s="50"/>
      <c r="G29" s="50"/>
    </row>
    <row r="30" spans="1:7">
      <c r="A30" s="48"/>
      <c r="B30" s="49"/>
      <c r="C30" s="50"/>
      <c r="D30" s="50"/>
      <c r="E30" s="50"/>
      <c r="F30" s="50"/>
      <c r="G30" s="50"/>
    </row>
    <row r="31" spans="1:7">
      <c r="A31" s="208" t="s">
        <v>80</v>
      </c>
      <c r="B31" s="208"/>
      <c r="C31" s="208"/>
      <c r="D31" s="208"/>
      <c r="E31" s="208"/>
      <c r="F31" s="208"/>
      <c r="G31" s="208"/>
    </row>
    <row r="32" spans="1:7" ht="28.5">
      <c r="A32" s="208" t="s">
        <v>81</v>
      </c>
      <c r="B32" s="208"/>
      <c r="C32" s="45" t="s">
        <v>82</v>
      </c>
      <c r="D32" s="45" t="s">
        <v>83</v>
      </c>
      <c r="E32" s="45" t="s">
        <v>84</v>
      </c>
      <c r="F32" s="45" t="s">
        <v>85</v>
      </c>
      <c r="G32" s="45" t="s">
        <v>86</v>
      </c>
    </row>
    <row r="33" spans="1:7">
      <c r="A33" s="203" t="s">
        <v>87</v>
      </c>
      <c r="B33" s="203"/>
      <c r="C33" s="60">
        <f>C18</f>
        <v>57.78</v>
      </c>
      <c r="D33" s="60">
        <f>C19</f>
        <v>57.78</v>
      </c>
      <c r="E33" s="60">
        <f>C20</f>
        <v>57.78</v>
      </c>
      <c r="F33" s="60">
        <f>C21</f>
        <v>57.78</v>
      </c>
      <c r="G33" s="60">
        <f>C22</f>
        <v>57.78</v>
      </c>
    </row>
    <row r="34" spans="1:7">
      <c r="A34" s="203" t="s">
        <v>88</v>
      </c>
      <c r="B34" s="203"/>
      <c r="C34" s="60">
        <f>IF(C33="NOT APPLICABLE","NOT APPLICABLE",UNIVERSITY!$H$96)</f>
        <v>34.44</v>
      </c>
      <c r="D34" s="60">
        <f>IF(C33="NOT APPLICABLE","NOT APPLICABLE",UNIVERSITY!$H$96)</f>
        <v>34.44</v>
      </c>
      <c r="E34" s="60">
        <f>IF(C33="NOT APPLICABLE","NOT APPLICABLE",UNIVERSITY!$H$96)</f>
        <v>34.44</v>
      </c>
      <c r="F34" s="60">
        <f>IF(C33="NOT APPLICABLE","NOT APPLICABLE",UNIVERSITY!$H$96)</f>
        <v>34.44</v>
      </c>
      <c r="G34" s="60">
        <f>IF(C33="NOT APPLICABLE","NOT APPLICABLE",UNIVERSITY!$H$96)</f>
        <v>34.44</v>
      </c>
    </row>
    <row r="35" spans="1:7">
      <c r="A35" s="209" t="s">
        <v>89</v>
      </c>
      <c r="B35" s="209"/>
      <c r="C35" s="60">
        <f>IF(C33="NOT APPLICABLE","NOT APPLICABLE",C33*0.6+C34*0.4)</f>
        <v>48.444000000000003</v>
      </c>
      <c r="D35" s="60">
        <f>IF(D33="NOT APPLICABLE","NOT APPLICABLE",D33*0.6+D34*0.4)</f>
        <v>48.444000000000003</v>
      </c>
      <c r="E35" s="60">
        <f>IF(E33="NOT APPLICABLE","NOT APPLICABLE",E33*0.6+E34*0.4)</f>
        <v>48.444000000000003</v>
      </c>
      <c r="F35" s="60">
        <f>IF(F33="NOT APPLICABLE","NOT APPLICABLE",F33*0.6+F34*0.4)</f>
        <v>48.444000000000003</v>
      </c>
      <c r="G35" s="60">
        <f>IF(G33="NOT APPLICABLE","NOT APPLICABLE",G33*0.6+G34*0.4)</f>
        <v>48.444000000000003</v>
      </c>
    </row>
    <row r="36" spans="1:7">
      <c r="A36" s="203" t="s">
        <v>90</v>
      </c>
      <c r="B36" s="203"/>
      <c r="C36" s="60">
        <f>E18</f>
        <v>76.608187134502927</v>
      </c>
      <c r="D36" s="60">
        <f>E19</f>
        <v>83.040935672514621</v>
      </c>
      <c r="E36" s="60">
        <f>E20</f>
        <v>83.040935672514621</v>
      </c>
      <c r="F36" s="60">
        <f>E21</f>
        <v>78.94736842105263</v>
      </c>
      <c r="G36" s="60">
        <f>E22</f>
        <v>81.286549707602347</v>
      </c>
    </row>
    <row r="37" spans="1:7">
      <c r="A37" s="204" t="s">
        <v>91</v>
      </c>
      <c r="B37" s="204"/>
      <c r="C37" s="60">
        <f>IF(SUMPRODUCT(--(C33:C36&lt;&gt;"NOT APPLICABLE"))=0,"NOT APPLICABLE",C35*0.8+C36*0.2)</f>
        <v>54.076837426900589</v>
      </c>
      <c r="D37" s="60">
        <f>IF(SUMPRODUCT(--(D33:D36&lt;&gt;"NOT APPLICABLE"))=0,"NOT APPLICABLE",D35*0.8+D36*0.2)</f>
        <v>55.363387134502929</v>
      </c>
      <c r="E37" s="60">
        <f>IF(SUMPRODUCT(--(E33:E36&lt;&gt;"NOT APPLICABLE"))=0,"NOT APPLICABLE",E35*0.8+E36*0.2)</f>
        <v>55.363387134502929</v>
      </c>
      <c r="F37" s="60">
        <f>IF(SUMPRODUCT(--(F33:F36&lt;&gt;"NOT APPLICABLE"))=0,"NOT APPLICABLE",F35*0.8+F36*0.2)</f>
        <v>54.54467368421053</v>
      </c>
      <c r="G37" s="60">
        <f>IF(SUMPRODUCT(--(G33:G36&lt;&gt;"NOT APPLICABLE"))=0,"NOT APPLICABLE",G35*0.8+G36*0.2)</f>
        <v>55.012509941520477</v>
      </c>
    </row>
    <row r="38" spans="1:7">
      <c r="A38" s="61"/>
      <c r="B38" s="62"/>
      <c r="C38" s="63"/>
      <c r="D38" s="63"/>
      <c r="E38" s="63"/>
      <c r="F38" s="63"/>
      <c r="G38" s="63"/>
    </row>
    <row r="39" spans="1:7">
      <c r="A39" s="61"/>
      <c r="B39" s="62"/>
      <c r="C39" s="63"/>
      <c r="D39" s="63"/>
      <c r="E39" s="63"/>
      <c r="F39" s="63"/>
      <c r="G39" s="63"/>
    </row>
    <row r="40" spans="1:7">
      <c r="A40" s="205" t="s">
        <v>92</v>
      </c>
      <c r="B40" s="205"/>
      <c r="C40" s="205"/>
      <c r="D40" s="205"/>
      <c r="E40" s="205"/>
      <c r="F40" s="205"/>
      <c r="G40" s="205"/>
    </row>
    <row r="41" spans="1:7">
      <c r="A41" s="53" t="s">
        <v>93</v>
      </c>
      <c r="B41" s="206" t="s">
        <v>94</v>
      </c>
      <c r="C41" s="206"/>
      <c r="D41" s="206" t="s">
        <v>95</v>
      </c>
      <c r="E41" s="206"/>
      <c r="F41" s="206"/>
      <c r="G41" s="206"/>
    </row>
    <row r="42" spans="1:7">
      <c r="A42" s="53" t="s">
        <v>96</v>
      </c>
      <c r="B42" s="206" t="s">
        <v>97</v>
      </c>
      <c r="C42" s="206"/>
      <c r="D42" s="206" t="s">
        <v>98</v>
      </c>
      <c r="E42" s="206"/>
      <c r="F42" s="206"/>
      <c r="G42" s="206"/>
    </row>
    <row r="43" spans="1:7">
      <c r="A43" s="53" t="s">
        <v>99</v>
      </c>
      <c r="B43" s="206" t="s">
        <v>100</v>
      </c>
      <c r="C43" s="206"/>
      <c r="D43" s="206" t="s">
        <v>101</v>
      </c>
      <c r="E43" s="206"/>
      <c r="F43" s="206"/>
      <c r="G43" s="206"/>
    </row>
    <row r="44" spans="1:7">
      <c r="A44" s="217"/>
      <c r="B44" s="218"/>
      <c r="C44" s="218"/>
      <c r="D44" s="218"/>
      <c r="E44" s="218"/>
      <c r="F44" s="218"/>
      <c r="G44" s="219"/>
    </row>
    <row r="45" spans="1:7">
      <c r="A45" s="53" t="s">
        <v>25</v>
      </c>
      <c r="B45" s="217" t="s">
        <v>102</v>
      </c>
      <c r="C45" s="218"/>
      <c r="D45" s="53" t="s">
        <v>103</v>
      </c>
      <c r="E45" s="217" t="s">
        <v>104</v>
      </c>
      <c r="F45" s="219"/>
      <c r="G45" s="53" t="s">
        <v>105</v>
      </c>
    </row>
    <row r="46" spans="1:7">
      <c r="A46" s="58" t="s">
        <v>93</v>
      </c>
      <c r="B46" s="210" t="s">
        <v>106</v>
      </c>
      <c r="C46" s="211"/>
      <c r="D46" s="212">
        <f>F23</f>
        <v>60</v>
      </c>
      <c r="E46" s="214" t="str">
        <f>CONCATENATE("Attainment value"," &gt; ",ROUND(D46+(5*D46)/100,0))</f>
        <v>Attainment value &gt; 63</v>
      </c>
      <c r="F46" s="214"/>
      <c r="G46" s="58">
        <v>3</v>
      </c>
    </row>
    <row r="47" spans="1:7">
      <c r="A47" s="58" t="s">
        <v>96</v>
      </c>
      <c r="B47" s="215" t="s">
        <v>107</v>
      </c>
      <c r="C47" s="216"/>
      <c r="D47" s="213"/>
      <c r="E47" s="213" t="str">
        <f>CONCATENATE(ROUND(D46-(5*D46)/100,0)," &lt;= ","Attainment value"," &gt; ",ROUND(D46+(5*D46)/100,0))</f>
        <v>57 &lt;= Attainment value &gt; 63</v>
      </c>
      <c r="F47" s="213"/>
      <c r="G47" s="58">
        <v>2</v>
      </c>
    </row>
    <row r="48" spans="1:7">
      <c r="A48" s="58" t="s">
        <v>99</v>
      </c>
      <c r="B48" s="215" t="s">
        <v>108</v>
      </c>
      <c r="C48" s="216"/>
      <c r="D48" s="213"/>
      <c r="E48" s="213" t="str">
        <f>CONCATENATE("Attainment value"," &lt;",ROUND(D46-(5*D46)/100,0))</f>
        <v>Attainment value &lt;57</v>
      </c>
      <c r="F48" s="213"/>
      <c r="G48" s="58">
        <v>1</v>
      </c>
    </row>
    <row r="49" spans="1:7">
      <c r="A49" s="61"/>
      <c r="B49" s="62"/>
      <c r="C49" s="63"/>
      <c r="D49" s="63"/>
      <c r="E49" s="63"/>
      <c r="F49" s="63"/>
      <c r="G49" s="63"/>
    </row>
    <row r="50" spans="1:7">
      <c r="A50" s="61"/>
      <c r="B50" s="62"/>
      <c r="C50" s="63"/>
      <c r="D50" s="63"/>
      <c r="E50" s="63"/>
      <c r="F50" s="63"/>
      <c r="G50" s="63"/>
    </row>
    <row r="51" spans="1:7">
      <c r="A51" s="208" t="s">
        <v>109</v>
      </c>
      <c r="B51" s="208"/>
      <c r="C51" s="208"/>
      <c r="D51" s="208"/>
      <c r="E51" s="208"/>
      <c r="F51" s="208"/>
      <c r="G51" s="208"/>
    </row>
    <row r="52" spans="1:7" ht="29.25">
      <c r="A52" s="199" t="s">
        <v>81</v>
      </c>
      <c r="B52" s="200"/>
      <c r="C52" s="41" t="s">
        <v>82</v>
      </c>
      <c r="D52" s="41" t="s">
        <v>83</v>
      </c>
      <c r="E52" s="41" t="s">
        <v>84</v>
      </c>
      <c r="F52" s="41" t="s">
        <v>85</v>
      </c>
      <c r="G52" s="41" t="s">
        <v>86</v>
      </c>
    </row>
    <row r="53" spans="1:7">
      <c r="A53" s="203" t="s">
        <v>87</v>
      </c>
      <c r="B53" s="203"/>
      <c r="C53" s="43">
        <f>IF(C33="NOT APPLICABLE","NOT APPLICABLE",IF(C33&gt;=$D$46+ROUND(($D$46*5)/100,2),3,IF(C33&gt;=$D$46-ROUND(($D$46*5)/100,2),2,1)))</f>
        <v>2</v>
      </c>
      <c r="D53" s="43">
        <f t="shared" ref="D53:G54" si="0">IF(D33="NOT APPLICABLE","NOT APPLICABLE",IF(D33&gt;=$D$46+ROUND(($D$46*5)/100,2),3,IF(D33&gt;=$D$46-ROUND(($D$46*5)/100,2),2,1)))</f>
        <v>2</v>
      </c>
      <c r="E53" s="43">
        <f t="shared" si="0"/>
        <v>2</v>
      </c>
      <c r="F53" s="43">
        <f t="shared" si="0"/>
        <v>2</v>
      </c>
      <c r="G53" s="43">
        <f t="shared" si="0"/>
        <v>2</v>
      </c>
    </row>
    <row r="54" spans="1:7">
      <c r="A54" s="203" t="s">
        <v>88</v>
      </c>
      <c r="B54" s="203"/>
      <c r="C54" s="43">
        <f>IF(C34="NOT APPLICABLE","NOT APPLICABLE",IF(C34&gt;=$D$46+ROUND(($D$46*5)/100,2),3,IF(C34&gt;=$D$46-ROUND(($D$46*5)/100,2),2,1)))</f>
        <v>1</v>
      </c>
      <c r="D54" s="43">
        <f t="shared" si="0"/>
        <v>1</v>
      </c>
      <c r="E54" s="43">
        <f t="shared" si="0"/>
        <v>1</v>
      </c>
      <c r="F54" s="43">
        <f t="shared" si="0"/>
        <v>1</v>
      </c>
      <c r="G54" s="43">
        <f t="shared" si="0"/>
        <v>1</v>
      </c>
    </row>
    <row r="55" spans="1:7">
      <c r="A55" s="220" t="s">
        <v>89</v>
      </c>
      <c r="B55" s="221"/>
      <c r="C55" s="44">
        <f>IF(OR(C33="NOT APPLICABLE",C34="NOT APPLICABLE"),"NOT APPLICABLE",0.6*C53 + 0.4 *C54)</f>
        <v>1.6</v>
      </c>
      <c r="D55" s="44">
        <f>IF(OR(D33="NOT APPLICABLE",D34="NOT APPLICABLE"),"NOT APPLICABLE",0.6*D53 + 0.4 *D54)</f>
        <v>1.6</v>
      </c>
      <c r="E55" s="44">
        <f>IF(OR(E33="NOT APPLICABLE",E34="NOT APPLICABLE"),"NOT APPLICABLE",0.6*E53 + 0.4 *E54)</f>
        <v>1.6</v>
      </c>
      <c r="F55" s="44">
        <f>IF(OR(F33="NOT APPLICABLE",F34="NOT APPLICABLE"),"NOT APPLICABLE",0.6*F53 + 0.4 *F54)</f>
        <v>1.6</v>
      </c>
      <c r="G55" s="44">
        <f>IF(OR(G33="NOT APPLICABLE",G34="NOT APPLICABLE"),"NOT APPLICABLE",0.6*G53 + 0.4 *G54)</f>
        <v>1.6</v>
      </c>
    </row>
    <row r="56" spans="1:7">
      <c r="A56" s="203" t="s">
        <v>90</v>
      </c>
      <c r="B56" s="203"/>
      <c r="C56" s="44">
        <f>IF(C36="NOT APPLICABLE","NOT APPLICABLE",IF(C36&gt;=$D$46+ROUND(($D$46*5)/100,2),3,IF(C36&gt;=$D$46-ROUND(($D$46*5)/100,2),2,1)))</f>
        <v>3</v>
      </c>
      <c r="D56" s="44">
        <f>IF(D36="NOT APPLICABLE","NOT APPLICABLE",IF(D36&gt;=$D$46+ROUND(($D$46*5)/100,2),3,IF(D36&gt;=$D$46-ROUND(($D$46*5)/100,2),2,1)))</f>
        <v>3</v>
      </c>
      <c r="E56" s="44">
        <f>IF(E36="NOT APPLICABLE","NOT APPLICABLE",IF(E36&gt;=$D$46+ROUND(($D$46*5)/100,2),3,IF(E36&gt;=$D$46-ROUND(($D$46*5)/100,2),2,1)))</f>
        <v>3</v>
      </c>
      <c r="F56" s="44">
        <f>IF(F36="NOT APPLICABLE","NOT APPLICABLE",IF(F36&gt;=$D$46+ROUND(($D$46*5)/100,2),3,IF(F36&gt;=$D$46-ROUND(($D$46*5)/100,2),2,1)))</f>
        <v>3</v>
      </c>
      <c r="G56" s="44">
        <f>IF(G36="NOT APPLICABLE","NOT APPLICABLE",IF(G36&gt;=$D$46+ROUND(($D$46*5)/100,2),3,IF(G36&gt;=$D$46-ROUND(($D$46*5)/100,2),2,1)))</f>
        <v>3</v>
      </c>
    </row>
    <row r="57" spans="1:7">
      <c r="A57" s="204" t="s">
        <v>91</v>
      </c>
      <c r="B57" s="204"/>
      <c r="C57" s="44">
        <f>IF(OR(C33="NOT APPLICABLE",C34="NOT APPLICABLE"),"NOT APPLICABLE",0.8*C55+0.2*C56)</f>
        <v>1.8800000000000003</v>
      </c>
      <c r="D57" s="44">
        <f>IF(OR(D33="NOT APPLICABLE",D34="NOT APPLICABLE"),"NOT APPLICABLE",0.8*D55+0.2*D56)</f>
        <v>1.8800000000000003</v>
      </c>
      <c r="E57" s="44">
        <f>IF(OR(E33="NOT APPLICABLE",E34="NOT APPLICABLE"),"NOT APPLICABLE",0.8*E55+0.2*E56)</f>
        <v>1.8800000000000003</v>
      </c>
      <c r="F57" s="44">
        <f>IF(OR(F33="NOT APPLICABLE",F34="NOT APPLICABLE"),"NOT APPLICABLE",0.8*F55+0.2*F56)</f>
        <v>1.8800000000000003</v>
      </c>
      <c r="G57" s="44">
        <f>IF(OR(G33="NOT APPLICABLE",G34="NOT APPLICABLE"),"NOT APPLICABLE",0.8*G55+0.2*G56)</f>
        <v>1.8800000000000003</v>
      </c>
    </row>
    <row r="59" spans="1:7">
      <c r="G59">
        <f>AVERAGE(C57:G57)</f>
        <v>1.8800000000000003</v>
      </c>
    </row>
  </sheetData>
  <mergeCells count="57">
    <mergeCell ref="A2:G2"/>
    <mergeCell ref="A1:G1"/>
    <mergeCell ref="C5:G5"/>
    <mergeCell ref="C6:G6"/>
    <mergeCell ref="C7:G7"/>
    <mergeCell ref="C4:D4"/>
    <mergeCell ref="A7:B7"/>
    <mergeCell ref="A3:B3"/>
    <mergeCell ref="A4:B4"/>
    <mergeCell ref="A5:B5"/>
    <mergeCell ref="A6:B6"/>
    <mergeCell ref="E4:G4"/>
    <mergeCell ref="C3:G3"/>
    <mergeCell ref="A55:B55"/>
    <mergeCell ref="A56:B56"/>
    <mergeCell ref="A57:B57"/>
    <mergeCell ref="B48:C48"/>
    <mergeCell ref="E48:F48"/>
    <mergeCell ref="A51:G51"/>
    <mergeCell ref="A52:B52"/>
    <mergeCell ref="A53:B53"/>
    <mergeCell ref="A54:B54"/>
    <mergeCell ref="B43:C43"/>
    <mergeCell ref="D43:G43"/>
    <mergeCell ref="A44:G44"/>
    <mergeCell ref="B45:C45"/>
    <mergeCell ref="E45:F45"/>
    <mergeCell ref="B46:C46"/>
    <mergeCell ref="D46:D48"/>
    <mergeCell ref="E46:F46"/>
    <mergeCell ref="B47:C47"/>
    <mergeCell ref="E47:F47"/>
    <mergeCell ref="B42:C42"/>
    <mergeCell ref="D42:G42"/>
    <mergeCell ref="B29:D29"/>
    <mergeCell ref="A31:G31"/>
    <mergeCell ref="A32:B32"/>
    <mergeCell ref="A33:B33"/>
    <mergeCell ref="A34:B34"/>
    <mergeCell ref="A35:B35"/>
    <mergeCell ref="A23:B23"/>
    <mergeCell ref="A36:B36"/>
    <mergeCell ref="A37:B37"/>
    <mergeCell ref="A40:G40"/>
    <mergeCell ref="B41:C41"/>
    <mergeCell ref="D41:G41"/>
    <mergeCell ref="B28:D28"/>
    <mergeCell ref="B25:E25"/>
    <mergeCell ref="B26:D26"/>
    <mergeCell ref="B27:D27"/>
    <mergeCell ref="A16:F16"/>
    <mergeCell ref="C8:G8"/>
    <mergeCell ref="C9:G9"/>
    <mergeCell ref="A8:B8"/>
    <mergeCell ref="A9:B9"/>
    <mergeCell ref="A11:G11"/>
    <mergeCell ref="A14:B14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45"/>
  <sheetViews>
    <sheetView topLeftCell="A19" workbookViewId="0">
      <selection activeCell="M24" sqref="M24"/>
    </sheetView>
  </sheetViews>
  <sheetFormatPr defaultRowHeight="15"/>
  <cols>
    <col min="1" max="1" width="9.140625" style="16"/>
    <col min="2" max="2" width="9.5703125" style="16" customWidth="1"/>
    <col min="3" max="3" width="9.140625" style="16"/>
    <col min="4" max="4" width="10.140625" style="16" bestFit="1" customWidth="1"/>
    <col min="5" max="9" width="9.140625" style="16"/>
    <col min="10" max="10" width="10.28515625" style="16" bestFit="1" customWidth="1"/>
    <col min="11" max="16384" width="9.140625" style="16"/>
  </cols>
  <sheetData>
    <row r="1" spans="1:17" ht="18.75">
      <c r="A1" s="184" t="s">
        <v>148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</row>
    <row r="2" spans="1:17" ht="18.75">
      <c r="A2" s="184" t="s">
        <v>150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</row>
    <row r="3" spans="1:17" s="17" customFormat="1" ht="36" customHeight="1">
      <c r="A3" s="176" t="str">
        <f>'DATA INPUT SHEET'!A3:E3</f>
        <v>Semester: III</v>
      </c>
      <c r="B3" s="177"/>
      <c r="C3" s="177"/>
      <c r="D3" s="178"/>
      <c r="E3" s="176" t="str">
        <f>'DATA INPUT SHEET'!E3</f>
        <v>Name of the Faculty: Dr. Prateek Gangwar</v>
      </c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1:17" ht="18.75">
      <c r="A4" s="184" t="str">
        <f>'DATA INPUT SHEET'!A4:E4</f>
        <v>Subject Code: BME-303</v>
      </c>
      <c r="B4" s="184"/>
      <c r="C4" s="184"/>
      <c r="D4" s="184"/>
      <c r="E4" s="184" t="str">
        <f>'DATA INPUT SHEET'!F4</f>
        <v>Total No. of Students: 18</v>
      </c>
      <c r="F4" s="184"/>
      <c r="G4" s="184"/>
      <c r="H4" s="184"/>
      <c r="I4" s="184"/>
      <c r="J4" s="184" t="str">
        <f>'DATA INPUT SHEET'!K4</f>
        <v>Subject Name:Materials Engineering</v>
      </c>
      <c r="K4" s="184"/>
      <c r="L4" s="184"/>
      <c r="M4" s="184"/>
      <c r="N4" s="184"/>
      <c r="O4" s="184"/>
      <c r="P4" s="184"/>
      <c r="Q4" s="184"/>
    </row>
    <row r="5" spans="1:17">
      <c r="A5" s="228"/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</row>
    <row r="6" spans="1:17" ht="30" customHeight="1">
      <c r="A6" s="232" t="str">
        <f>'DATA INPUT SHEET'!A9:C9</f>
        <v>CO1</v>
      </c>
      <c r="B6" s="232"/>
      <c r="C6" s="232"/>
      <c r="D6" s="182" t="str">
        <f>'DATA INPUT SHEET'!D9:Q9</f>
        <v>Student will be able to identify crystal structures for various materials and understand the defects in such structures</v>
      </c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</row>
    <row r="7" spans="1:17" ht="30" customHeight="1">
      <c r="A7" s="232" t="str">
        <f>'DATA INPUT SHEET'!A10:C10</f>
        <v>CO2</v>
      </c>
      <c r="B7" s="232"/>
      <c r="C7" s="232"/>
      <c r="D7" s="182" t="str">
        <f>'DATA INPUT SHEET'!D10:Q10</f>
        <v>Understand how to tailor material properties of ferrous and non-ferrous alloys.</v>
      </c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</row>
    <row r="8" spans="1:17" ht="30" customHeight="1">
      <c r="A8" s="232" t="str">
        <f>'DATA INPUT SHEET'!A11:C11</f>
        <v>CO3</v>
      </c>
      <c r="B8" s="232"/>
      <c r="C8" s="232"/>
      <c r="D8" s="182" t="str">
        <f>'DATA INPUT SHEET'!D11:Q11</f>
        <v>To understand method of Grinding &amp; Superfinishing for betterment of the manufacturing product.</v>
      </c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</row>
    <row r="9" spans="1:17" ht="30" customHeight="1">
      <c r="A9" s="232" t="str">
        <f>'DATA INPUT SHEET'!A12:C12</f>
        <v>CO4</v>
      </c>
      <c r="B9" s="232"/>
      <c r="C9" s="232"/>
      <c r="D9" s="182" t="str">
        <f>'DATA INPUT SHEET'!D12:Q12</f>
        <v>To learn various hardness test.</v>
      </c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</row>
    <row r="10" spans="1:17" ht="30" customHeight="1">
      <c r="A10" s="232" t="str">
        <f>'DATA INPUT SHEET'!A13:C13</f>
        <v>CO5</v>
      </c>
      <c r="B10" s="232"/>
      <c r="C10" s="232"/>
      <c r="D10" s="182" t="str">
        <f>'DATA INPUT SHEET'!D13:Q13</f>
        <v>Basic knowledge of NDT.</v>
      </c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/>
    </row>
    <row r="12" spans="1:17" ht="15.75">
      <c r="A12" s="244" t="s">
        <v>110</v>
      </c>
      <c r="B12" s="244"/>
      <c r="C12" s="244"/>
      <c r="D12" s="244"/>
      <c r="E12" s="244"/>
      <c r="F12" s="244"/>
      <c r="G12" s="244"/>
      <c r="H12" s="244"/>
      <c r="I12" s="244"/>
      <c r="J12" s="244"/>
    </row>
    <row r="13" spans="1:17">
      <c r="A13" s="237" t="s">
        <v>26</v>
      </c>
      <c r="B13" s="237"/>
      <c r="C13" s="237" t="s">
        <v>24</v>
      </c>
      <c r="D13" s="237"/>
      <c r="E13" s="237"/>
      <c r="F13" s="237"/>
      <c r="G13" s="237"/>
      <c r="H13" s="237"/>
      <c r="I13" s="237"/>
      <c r="J13" s="64" t="s">
        <v>27</v>
      </c>
      <c r="K13" s="65"/>
      <c r="L13" s="65"/>
      <c r="M13" s="65"/>
      <c r="N13" s="65"/>
      <c r="O13" s="65"/>
      <c r="P13" s="65"/>
    </row>
    <row r="14" spans="1:17">
      <c r="A14" s="238" t="s">
        <v>28</v>
      </c>
      <c r="B14" s="228"/>
      <c r="C14" s="239" t="s">
        <v>29</v>
      </c>
      <c r="D14" s="239"/>
      <c r="E14" s="239"/>
      <c r="F14" s="239"/>
      <c r="G14" s="239"/>
      <c r="H14" s="239"/>
      <c r="I14" s="239"/>
      <c r="J14" s="67">
        <v>3</v>
      </c>
      <c r="K14" s="65"/>
      <c r="L14" s="65"/>
      <c r="M14" s="65"/>
      <c r="N14" s="65"/>
      <c r="O14" s="65"/>
      <c r="P14" s="65"/>
    </row>
    <row r="15" spans="1:17">
      <c r="A15" s="238" t="s">
        <v>30</v>
      </c>
      <c r="B15" s="228"/>
      <c r="C15" s="239" t="s">
        <v>31</v>
      </c>
      <c r="D15" s="239"/>
      <c r="E15" s="239"/>
      <c r="F15" s="239"/>
      <c r="G15" s="239"/>
      <c r="H15" s="239"/>
      <c r="I15" s="239"/>
      <c r="J15" s="67">
        <v>2</v>
      </c>
      <c r="K15" s="65"/>
      <c r="L15" s="65"/>
      <c r="M15" s="65"/>
      <c r="N15" s="65"/>
      <c r="O15" s="65"/>
      <c r="P15" s="65"/>
    </row>
    <row r="16" spans="1:17">
      <c r="A16" s="238" t="s">
        <v>32</v>
      </c>
      <c r="B16" s="228"/>
      <c r="C16" s="239" t="s">
        <v>33</v>
      </c>
      <c r="D16" s="239"/>
      <c r="E16" s="239"/>
      <c r="F16" s="239"/>
      <c r="G16" s="239"/>
      <c r="H16" s="239"/>
      <c r="I16" s="239"/>
      <c r="J16" s="67">
        <v>1</v>
      </c>
      <c r="K16" s="65"/>
      <c r="L16" s="65"/>
      <c r="M16" s="65"/>
      <c r="N16" s="65"/>
      <c r="O16" s="65"/>
      <c r="P16" s="65"/>
    </row>
    <row r="17" spans="1:18">
      <c r="A17" s="238" t="s">
        <v>34</v>
      </c>
      <c r="B17" s="228"/>
      <c r="C17" s="239" t="s">
        <v>35</v>
      </c>
      <c r="D17" s="239"/>
      <c r="E17" s="239"/>
      <c r="F17" s="239"/>
      <c r="G17" s="239"/>
      <c r="H17" s="239"/>
      <c r="I17" s="239"/>
      <c r="J17" s="67">
        <v>0</v>
      </c>
      <c r="K17" s="65"/>
      <c r="L17" s="65"/>
      <c r="M17" s="65"/>
      <c r="N17" s="65"/>
      <c r="O17" s="65"/>
      <c r="P17" s="65"/>
    </row>
    <row r="18" spans="1:18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</row>
    <row r="19" spans="1:18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</row>
    <row r="20" spans="1:18">
      <c r="A20" s="243" t="s">
        <v>36</v>
      </c>
      <c r="B20" s="243"/>
      <c r="C20" s="243"/>
      <c r="D20" s="243"/>
      <c r="E20" s="243"/>
      <c r="F20" s="243" t="s">
        <v>131</v>
      </c>
      <c r="G20" s="243"/>
      <c r="H20" s="243"/>
      <c r="I20" s="243"/>
      <c r="J20" s="68">
        <f>'Student Feedback Analysis'!E10</f>
        <v>0</v>
      </c>
      <c r="K20" s="65"/>
      <c r="L20" s="65"/>
      <c r="M20" s="65"/>
      <c r="N20" s="65"/>
      <c r="O20" s="65"/>
      <c r="P20" s="65"/>
    </row>
    <row r="21" spans="1:18" ht="86.25">
      <c r="A21" s="68" t="s">
        <v>1</v>
      </c>
      <c r="B21" s="69" t="s">
        <v>37</v>
      </c>
      <c r="C21" s="69" t="s">
        <v>38</v>
      </c>
      <c r="D21" s="69" t="s">
        <v>39</v>
      </c>
      <c r="E21" s="69" t="s">
        <v>40</v>
      </c>
      <c r="F21" s="69" t="s">
        <v>41</v>
      </c>
      <c r="G21" s="69" t="s">
        <v>42</v>
      </c>
      <c r="H21" s="69" t="s">
        <v>43</v>
      </c>
      <c r="I21" s="69" t="s">
        <v>44</v>
      </c>
      <c r="J21" s="69" t="s">
        <v>45</v>
      </c>
      <c r="L21" s="65"/>
      <c r="M21" s="65"/>
      <c r="N21" s="65"/>
      <c r="O21" s="65"/>
      <c r="P21" s="65"/>
    </row>
    <row r="22" spans="1:18">
      <c r="A22" s="68">
        <v>1</v>
      </c>
      <c r="B22" s="68" t="s">
        <v>3</v>
      </c>
      <c r="C22" s="102">
        <v>57</v>
      </c>
      <c r="D22" s="70">
        <f>'Student Feedback Analysis'!$K$13</f>
        <v>25</v>
      </c>
      <c r="E22" s="70">
        <f>'Student Feedback Analysis'!$K$14</f>
        <v>25</v>
      </c>
      <c r="F22" s="70">
        <f>'Student Feedback Analysis'!$K$15</f>
        <v>6</v>
      </c>
      <c r="G22" s="70">
        <f>'Student Feedback Analysis'!$K$16</f>
        <v>1</v>
      </c>
      <c r="H22" s="70">
        <f>IF(C22="NA","NA",C22*$J$14)</f>
        <v>171</v>
      </c>
      <c r="I22" s="70">
        <f>IF(C22="NA","NA",3*D22+E22*2+1*F22+0*G22)</f>
        <v>131</v>
      </c>
      <c r="J22" s="71">
        <f>IF(C22="NA","NA",(I22/H22)*100)</f>
        <v>76.608187134502927</v>
      </c>
      <c r="L22" s="65"/>
      <c r="M22" s="65"/>
      <c r="N22" s="65"/>
      <c r="O22" s="65"/>
      <c r="P22" s="65"/>
    </row>
    <row r="23" spans="1:18">
      <c r="A23" s="68">
        <v>2</v>
      </c>
      <c r="B23" s="68" t="s">
        <v>4</v>
      </c>
      <c r="C23" s="102">
        <v>57</v>
      </c>
      <c r="D23" s="70">
        <f>'Student Feedback Analysis'!$L$13</f>
        <v>33</v>
      </c>
      <c r="E23" s="70">
        <f>'Student Feedback Analysis'!$L$14</f>
        <v>20</v>
      </c>
      <c r="F23" s="70">
        <f>'Student Feedback Analysis'!$L$15</f>
        <v>3</v>
      </c>
      <c r="G23" s="70">
        <f>'Student Feedback Analysis'!$L$16</f>
        <v>1</v>
      </c>
      <c r="H23" s="70">
        <f>IF(C23="NA","NA",C23*$J$14)</f>
        <v>171</v>
      </c>
      <c r="I23" s="70">
        <f>IF(C23="NA","NA",3*D23+E23*2+1*F23+0*G23)</f>
        <v>142</v>
      </c>
      <c r="J23" s="71">
        <f>IF(C23="NA","NA",(I23/H23)*100)</f>
        <v>83.040935672514621</v>
      </c>
      <c r="L23" s="65"/>
      <c r="M23" s="65"/>
      <c r="N23" s="65"/>
      <c r="O23" s="65"/>
      <c r="P23" s="65"/>
    </row>
    <row r="24" spans="1:18">
      <c r="A24" s="68">
        <v>3</v>
      </c>
      <c r="B24" s="68" t="s">
        <v>5</v>
      </c>
      <c r="C24" s="102">
        <v>57</v>
      </c>
      <c r="D24" s="70">
        <f>'Student Feedback Analysis'!$M$13</f>
        <v>34</v>
      </c>
      <c r="E24" s="70">
        <f>'Student Feedback Analysis'!$M$14</f>
        <v>17</v>
      </c>
      <c r="F24" s="70">
        <f>'Student Feedback Analysis'!$M$15</f>
        <v>6</v>
      </c>
      <c r="G24" s="70">
        <f>'Student Feedback Analysis'!$M$16</f>
        <v>0</v>
      </c>
      <c r="H24" s="70">
        <f>IF(C24="NA","NA",C24*$J$14)</f>
        <v>171</v>
      </c>
      <c r="I24" s="70">
        <f>IF(C24="NA","NA",3*D24+E24*2+1*F24+0*G24)</f>
        <v>142</v>
      </c>
      <c r="J24" s="71">
        <f>IF(C24="NA","NA",(I24/H24)*100)</f>
        <v>83.040935672514621</v>
      </c>
      <c r="L24" s="65"/>
      <c r="M24" s="65"/>
      <c r="N24" s="65"/>
      <c r="O24" s="65"/>
      <c r="P24" s="65"/>
    </row>
    <row r="25" spans="1:18">
      <c r="A25" s="68">
        <v>4</v>
      </c>
      <c r="B25" s="68" t="s">
        <v>7</v>
      </c>
      <c r="C25" s="102">
        <v>57</v>
      </c>
      <c r="D25" s="70">
        <f>'Student Feedback Analysis'!$N$13</f>
        <v>30</v>
      </c>
      <c r="E25" s="70">
        <f>'Student Feedback Analysis'!$N$14</f>
        <v>18</v>
      </c>
      <c r="F25" s="70">
        <f>'Student Feedback Analysis'!$N$15</f>
        <v>9</v>
      </c>
      <c r="G25" s="70">
        <f>'Student Feedback Analysis'!$N$16</f>
        <v>0</v>
      </c>
      <c r="H25" s="70">
        <f>IF(C25="NA","NA",C25*$J$14)</f>
        <v>171</v>
      </c>
      <c r="I25" s="70">
        <f>IF(C25="NA","NA",3*D25+E25*2+1*F25+0*G25)</f>
        <v>135</v>
      </c>
      <c r="J25" s="71">
        <f>IF(C25="NA","NA",(I25/H25)*100)</f>
        <v>78.94736842105263</v>
      </c>
      <c r="L25" s="65"/>
      <c r="M25" s="65"/>
      <c r="N25" s="65"/>
      <c r="O25" s="65"/>
      <c r="P25" s="65"/>
    </row>
    <row r="26" spans="1:18">
      <c r="A26" s="68">
        <v>5</v>
      </c>
      <c r="B26" s="68" t="s">
        <v>8</v>
      </c>
      <c r="C26" s="102">
        <v>57</v>
      </c>
      <c r="D26" s="70">
        <f>'Student Feedback Analysis'!$O$13</f>
        <v>32</v>
      </c>
      <c r="E26" s="70">
        <f>'Student Feedback Analysis'!$O$14</f>
        <v>19</v>
      </c>
      <c r="F26" s="70">
        <f>'Student Feedback Analysis'!$O$15</f>
        <v>5</v>
      </c>
      <c r="G26" s="70">
        <f>'Student Feedback Analysis'!$O$15</f>
        <v>5</v>
      </c>
      <c r="H26" s="70">
        <f>IF(C26="NA","NA",C26*$J$14)</f>
        <v>171</v>
      </c>
      <c r="I26" s="70">
        <f>IF(C26="NA","NA",3*D26+E26*2+1*F26+0*G26)</f>
        <v>139</v>
      </c>
      <c r="J26" s="71">
        <f>IF(C26="NA","NA",(I26/H26)*100)</f>
        <v>81.286549707602347</v>
      </c>
      <c r="L26" s="65"/>
      <c r="M26" s="65"/>
      <c r="N26" s="65"/>
      <c r="O26" s="65"/>
      <c r="P26" s="65"/>
    </row>
    <row r="27" spans="1:18">
      <c r="A27" s="243" t="s">
        <v>46</v>
      </c>
      <c r="B27" s="243"/>
      <c r="C27" s="243"/>
      <c r="D27" s="243"/>
      <c r="E27" s="243"/>
      <c r="F27" s="243"/>
      <c r="G27" s="243"/>
      <c r="H27" s="243"/>
      <c r="I27" s="243"/>
      <c r="J27" s="71">
        <f>ROUND(AVERAGE(J22:J26),2)</f>
        <v>80.58</v>
      </c>
      <c r="K27" s="72"/>
      <c r="L27" s="65"/>
      <c r="M27" s="65"/>
      <c r="N27" s="65"/>
      <c r="O27" s="65"/>
      <c r="P27" s="65"/>
    </row>
    <row r="28" spans="1:18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</row>
    <row r="29" spans="1:18">
      <c r="A29" s="233" t="s">
        <v>47</v>
      </c>
      <c r="B29" s="234"/>
      <c r="C29" s="234"/>
      <c r="D29" s="234"/>
      <c r="E29" s="234"/>
      <c r="F29" s="234"/>
      <c r="G29" s="234"/>
      <c r="H29" s="234"/>
      <c r="I29" s="234"/>
      <c r="J29" s="234"/>
      <c r="K29" s="234"/>
      <c r="L29" s="234"/>
      <c r="M29" s="234"/>
      <c r="N29" s="234"/>
      <c r="O29" s="234"/>
      <c r="P29" s="234"/>
      <c r="Q29" s="234"/>
      <c r="R29" s="234"/>
    </row>
    <row r="30" spans="1:18">
      <c r="A30" s="37" t="s">
        <v>48</v>
      </c>
      <c r="B30" s="37" t="s">
        <v>49</v>
      </c>
      <c r="C30" s="73" t="s">
        <v>111</v>
      </c>
      <c r="D30" s="37" t="s">
        <v>50</v>
      </c>
      <c r="E30" s="37" t="s">
        <v>51</v>
      </c>
      <c r="F30" s="37" t="s">
        <v>52</v>
      </c>
      <c r="G30" s="37" t="s">
        <v>53</v>
      </c>
      <c r="H30" s="37" t="s">
        <v>54</v>
      </c>
      <c r="I30" s="37" t="s">
        <v>55</v>
      </c>
      <c r="J30" s="37" t="s">
        <v>56</v>
      </c>
      <c r="K30" s="37" t="s">
        <v>57</v>
      </c>
      <c r="L30" s="37" t="s">
        <v>58</v>
      </c>
      <c r="M30" s="37" t="s">
        <v>59</v>
      </c>
      <c r="N30" s="37" t="s">
        <v>60</v>
      </c>
      <c r="O30" s="37" t="s">
        <v>61</v>
      </c>
      <c r="P30" s="37" t="s">
        <v>62</v>
      </c>
      <c r="Q30" s="37" t="s">
        <v>63</v>
      </c>
      <c r="R30" s="37" t="s">
        <v>158</v>
      </c>
    </row>
    <row r="31" spans="1:18">
      <c r="A31" s="37">
        <v>1</v>
      </c>
      <c r="B31" s="73" t="s">
        <v>3</v>
      </c>
      <c r="C31" s="66" t="str">
        <f>IF(ISNUMBER(C22),"A","NA")</f>
        <v>A</v>
      </c>
      <c r="D31" s="74">
        <f>IF('DATA INPUT SHEET'!D18="","",'DATA INPUT SHEET'!D18)</f>
        <v>3</v>
      </c>
      <c r="E31" s="74">
        <f>IF('DATA INPUT SHEET'!E18="","",'DATA INPUT SHEET'!E18)</f>
        <v>1</v>
      </c>
      <c r="F31" s="74">
        <f>IF('DATA INPUT SHEET'!F18="","",'DATA INPUT SHEET'!F18)</f>
        <v>2</v>
      </c>
      <c r="G31" s="74">
        <f>IF('DATA INPUT SHEET'!G18="","",'DATA INPUT SHEET'!G18)</f>
        <v>2</v>
      </c>
      <c r="H31" s="74">
        <f>IF('DATA INPUT SHEET'!H18="","",'DATA INPUT SHEET'!H18)</f>
        <v>2</v>
      </c>
      <c r="I31" s="74" t="str">
        <f>IF('DATA INPUT SHEET'!I18="","",'DATA INPUT SHEET'!I18)</f>
        <v>-</v>
      </c>
      <c r="J31" s="74" t="str">
        <f>IF('DATA INPUT SHEET'!J18="","",'DATA INPUT SHEET'!J18)</f>
        <v>-</v>
      </c>
      <c r="K31" s="74" t="str">
        <f>IF('DATA INPUT SHEET'!K18="","",'DATA INPUT SHEET'!K18)</f>
        <v>-</v>
      </c>
      <c r="L31" s="74" t="str">
        <f>IF('DATA INPUT SHEET'!L18="","",'DATA INPUT SHEET'!L18)</f>
        <v>-</v>
      </c>
      <c r="M31" s="74">
        <f>IF('DATA INPUT SHEET'!M18="","",'DATA INPUT SHEET'!M18)</f>
        <v>2</v>
      </c>
      <c r="N31" s="74" t="str">
        <f>IF('DATA INPUT SHEET'!N18="","",'DATA INPUT SHEET'!N18)</f>
        <v>-</v>
      </c>
      <c r="O31" s="74">
        <f>IF('DATA INPUT SHEET'!O18="","",'DATA INPUT SHEET'!O18)</f>
        <v>2</v>
      </c>
      <c r="P31" s="74">
        <f>IF('DATA INPUT SHEET'!P18="","",'DATA INPUT SHEET'!P18)</f>
        <v>2</v>
      </c>
      <c r="Q31" s="74">
        <f>IF('DATA INPUT SHEET'!Q18="","",'DATA INPUT SHEET'!Q18)</f>
        <v>2</v>
      </c>
      <c r="R31" s="74">
        <f>IF('DATA INPUT SHEET'!R18="","",'DATA INPUT SHEET'!R18)</f>
        <v>2</v>
      </c>
    </row>
    <row r="32" spans="1:18">
      <c r="A32" s="37">
        <v>2</v>
      </c>
      <c r="B32" s="73" t="s">
        <v>4</v>
      </c>
      <c r="C32" s="66" t="str">
        <f>IF(ISNUMBER(C23),"A","NA")</f>
        <v>A</v>
      </c>
      <c r="D32" s="74">
        <f>IF('DATA INPUT SHEET'!D19="","",'DATA INPUT SHEET'!D19)</f>
        <v>2</v>
      </c>
      <c r="E32" s="74">
        <f>IF('DATA INPUT SHEET'!E19="","",'DATA INPUT SHEET'!E19)</f>
        <v>3</v>
      </c>
      <c r="F32" s="74">
        <f>IF('DATA INPUT SHEET'!F19="","",'DATA INPUT SHEET'!F19)</f>
        <v>2</v>
      </c>
      <c r="G32" s="74">
        <f>IF('DATA INPUT SHEET'!G19="","",'DATA INPUT SHEET'!G19)</f>
        <v>2</v>
      </c>
      <c r="H32" s="74">
        <f>IF('DATA INPUT SHEET'!H19="","",'DATA INPUT SHEET'!H19)</f>
        <v>1</v>
      </c>
      <c r="I32" s="74" t="str">
        <f>IF('DATA INPUT SHEET'!I19="","",'DATA INPUT SHEET'!I19)</f>
        <v>-</v>
      </c>
      <c r="J32" s="74" t="str">
        <f>IF('DATA INPUT SHEET'!J19="","",'DATA INPUT SHEET'!J19)</f>
        <v>-</v>
      </c>
      <c r="K32" s="74" t="str">
        <f>IF('DATA INPUT SHEET'!K19="","",'DATA INPUT SHEET'!K19)</f>
        <v>-</v>
      </c>
      <c r="L32" s="74" t="str">
        <f>IF('DATA INPUT SHEET'!L19="","",'DATA INPUT SHEET'!L19)</f>
        <v>-</v>
      </c>
      <c r="M32" s="74">
        <f>IF('DATA INPUT SHEET'!M19="","",'DATA INPUT SHEET'!M19)</f>
        <v>2</v>
      </c>
      <c r="N32" s="74" t="str">
        <f>IF('DATA INPUT SHEET'!N19="","",'DATA INPUT SHEET'!N19)</f>
        <v>-</v>
      </c>
      <c r="O32" s="74">
        <f>IF('DATA INPUT SHEET'!O19="","",'DATA INPUT SHEET'!O19)</f>
        <v>2</v>
      </c>
      <c r="P32" s="74">
        <f>IF('DATA INPUT SHEET'!P19="","",'DATA INPUT SHEET'!P19)</f>
        <v>2</v>
      </c>
      <c r="Q32" s="74">
        <f>IF('DATA INPUT SHEET'!Q19="","",'DATA INPUT SHEET'!Q19)</f>
        <v>2</v>
      </c>
      <c r="R32" s="74">
        <f>IF('DATA INPUT SHEET'!R19="","",'DATA INPUT SHEET'!R19)</f>
        <v>2</v>
      </c>
    </row>
    <row r="33" spans="1:18">
      <c r="A33" s="37">
        <v>3</v>
      </c>
      <c r="B33" s="73" t="s">
        <v>5</v>
      </c>
      <c r="C33" s="66" t="str">
        <f>IF(ISNUMBER(C24),"A","NA")</f>
        <v>A</v>
      </c>
      <c r="D33" s="74">
        <f>IF('DATA INPUT SHEET'!D20="","",'DATA INPUT SHEET'!D20)</f>
        <v>3</v>
      </c>
      <c r="E33" s="74">
        <f>IF('DATA INPUT SHEET'!E20="","",'DATA INPUT SHEET'!E20)</f>
        <v>3</v>
      </c>
      <c r="F33" s="74">
        <f>IF('DATA INPUT SHEET'!F20="","",'DATA INPUT SHEET'!F20)</f>
        <v>3</v>
      </c>
      <c r="G33" s="74">
        <f>IF('DATA INPUT SHEET'!G20="","",'DATA INPUT SHEET'!G20)</f>
        <v>2</v>
      </c>
      <c r="H33" s="74">
        <f>IF('DATA INPUT SHEET'!H20="","",'DATA INPUT SHEET'!H20)</f>
        <v>2</v>
      </c>
      <c r="I33" s="74" t="str">
        <f>IF('DATA INPUT SHEET'!I20="","",'DATA INPUT SHEET'!I20)</f>
        <v>-</v>
      </c>
      <c r="J33" s="74" t="str">
        <f>IF('DATA INPUT SHEET'!J20="","",'DATA INPUT SHEET'!J20)</f>
        <v>-</v>
      </c>
      <c r="K33" s="74" t="str">
        <f>IF('DATA INPUT SHEET'!K20="","",'DATA INPUT SHEET'!K20)</f>
        <v>-</v>
      </c>
      <c r="L33" s="74" t="str">
        <f>IF('DATA INPUT SHEET'!L20="","",'DATA INPUT SHEET'!L20)</f>
        <v>-</v>
      </c>
      <c r="M33" s="74">
        <f>IF('DATA INPUT SHEET'!M20="","",'DATA INPUT SHEET'!M20)</f>
        <v>2</v>
      </c>
      <c r="N33" s="74" t="str">
        <f>IF('DATA INPUT SHEET'!N20="","",'DATA INPUT SHEET'!N20)</f>
        <v>-</v>
      </c>
      <c r="O33" s="74">
        <f>IF('DATA INPUT SHEET'!O20="","",'DATA INPUT SHEET'!O20)</f>
        <v>2</v>
      </c>
      <c r="P33" s="74">
        <f>IF('DATA INPUT SHEET'!P20="","",'DATA INPUT SHEET'!P20)</f>
        <v>2</v>
      </c>
      <c r="Q33" s="74">
        <f>IF('DATA INPUT SHEET'!Q20="","",'DATA INPUT SHEET'!Q20)</f>
        <v>2</v>
      </c>
      <c r="R33" s="74">
        <f>IF('DATA INPUT SHEET'!R20="","",'DATA INPUT SHEET'!R20)</f>
        <v>2</v>
      </c>
    </row>
    <row r="34" spans="1:18">
      <c r="A34" s="37">
        <v>4</v>
      </c>
      <c r="B34" s="73" t="s">
        <v>7</v>
      </c>
      <c r="C34" s="66" t="str">
        <f>IF(ISNUMBER(C25),"A","NA")</f>
        <v>A</v>
      </c>
      <c r="D34" s="74">
        <f>IF('DATA INPUT SHEET'!D21="","",'DATA INPUT SHEET'!D21)</f>
        <v>2</v>
      </c>
      <c r="E34" s="74">
        <f>IF('DATA INPUT SHEET'!E21="","",'DATA INPUT SHEET'!E21)</f>
        <v>3</v>
      </c>
      <c r="F34" s="74">
        <f>IF('DATA INPUT SHEET'!F21="","",'DATA INPUT SHEET'!F21)</f>
        <v>3</v>
      </c>
      <c r="G34" s="74">
        <f>IF('DATA INPUT SHEET'!G21="","",'DATA INPUT SHEET'!G21)</f>
        <v>3</v>
      </c>
      <c r="H34" s="74">
        <f>IF('DATA INPUT SHEET'!H21="","",'DATA INPUT SHEET'!H21)</f>
        <v>2</v>
      </c>
      <c r="I34" s="74" t="str">
        <f>IF('DATA INPUT SHEET'!I21="","",'DATA INPUT SHEET'!I21)</f>
        <v>-</v>
      </c>
      <c r="J34" s="74" t="str">
        <f>IF('DATA INPUT SHEET'!J21="","",'DATA INPUT SHEET'!J21)</f>
        <v>-</v>
      </c>
      <c r="K34" s="74" t="str">
        <f>IF('DATA INPUT SHEET'!K21="","",'DATA INPUT SHEET'!K21)</f>
        <v>-</v>
      </c>
      <c r="L34" s="74" t="str">
        <f>IF('DATA INPUT SHEET'!L21="","",'DATA INPUT SHEET'!L21)</f>
        <v>-</v>
      </c>
      <c r="M34" s="74">
        <f>IF('DATA INPUT SHEET'!M21="","",'DATA INPUT SHEET'!M21)</f>
        <v>2</v>
      </c>
      <c r="N34" s="74" t="str">
        <f>IF('DATA INPUT SHEET'!N21="","",'DATA INPUT SHEET'!N21)</f>
        <v>-</v>
      </c>
      <c r="O34" s="74">
        <f>IF('DATA INPUT SHEET'!O21="","",'DATA INPUT SHEET'!O21)</f>
        <v>2</v>
      </c>
      <c r="P34" s="74">
        <f>IF('DATA INPUT SHEET'!P21="","",'DATA INPUT SHEET'!P21)</f>
        <v>2</v>
      </c>
      <c r="Q34" s="74">
        <f>IF('DATA INPUT SHEET'!Q21="","",'DATA INPUT SHEET'!Q21)</f>
        <v>2</v>
      </c>
      <c r="R34" s="74">
        <f>IF('DATA INPUT SHEET'!R21="","",'DATA INPUT SHEET'!R21)</f>
        <v>2</v>
      </c>
    </row>
    <row r="35" spans="1:18">
      <c r="A35" s="37">
        <v>5</v>
      </c>
      <c r="B35" s="73" t="s">
        <v>8</v>
      </c>
      <c r="C35" s="66" t="str">
        <f>IF(ISNUMBER(C26),"A","NA")</f>
        <v>A</v>
      </c>
      <c r="D35" s="74">
        <f>IF('DATA INPUT SHEET'!D22="","",'DATA INPUT SHEET'!D22)</f>
        <v>3</v>
      </c>
      <c r="E35" s="74">
        <f>IF('DATA INPUT SHEET'!E22="","",'DATA INPUT SHEET'!E22)</f>
        <v>3</v>
      </c>
      <c r="F35" s="74">
        <f>IF('DATA INPUT SHEET'!F22="","",'DATA INPUT SHEET'!F22)</f>
        <v>3</v>
      </c>
      <c r="G35" s="74">
        <f>IF('DATA INPUT SHEET'!G22="","",'DATA INPUT SHEET'!G22)</f>
        <v>2</v>
      </c>
      <c r="H35" s="74">
        <f>IF('DATA INPUT SHEET'!H22="","",'DATA INPUT SHEET'!H22)</f>
        <v>2</v>
      </c>
      <c r="I35" s="74" t="str">
        <f>IF('DATA INPUT SHEET'!I22="","",'DATA INPUT SHEET'!I22)</f>
        <v/>
      </c>
      <c r="J35" s="74" t="str">
        <f>IF('DATA INPUT SHEET'!J22="","",'DATA INPUT SHEET'!J22)</f>
        <v/>
      </c>
      <c r="K35" s="74" t="str">
        <f>IF('DATA INPUT SHEET'!K22="","",'DATA INPUT SHEET'!K22)</f>
        <v/>
      </c>
      <c r="L35" s="74" t="str">
        <f>IF('DATA INPUT SHEET'!L22="","",'DATA INPUT SHEET'!L22)</f>
        <v/>
      </c>
      <c r="M35" s="74">
        <f>IF('DATA INPUT SHEET'!M22="","",'DATA INPUT SHEET'!M22)</f>
        <v>2</v>
      </c>
      <c r="N35" s="74" t="str">
        <f>IF('DATA INPUT SHEET'!N22="","",'DATA INPUT SHEET'!N22)</f>
        <v/>
      </c>
      <c r="O35" s="74">
        <f>IF('DATA INPUT SHEET'!O22="","",'DATA INPUT SHEET'!O22)</f>
        <v>2</v>
      </c>
      <c r="P35" s="74">
        <f>IF('DATA INPUT SHEET'!P22="","",'DATA INPUT SHEET'!P22)</f>
        <v>2</v>
      </c>
      <c r="Q35" s="74">
        <f>IF('DATA INPUT SHEET'!Q22="","",'DATA INPUT SHEET'!Q22)</f>
        <v>2</v>
      </c>
      <c r="R35" s="74">
        <f>IF('DATA INPUT SHEET'!R22="","",'DATA INPUT SHEET'!R22)</f>
        <v>2</v>
      </c>
    </row>
    <row r="36" spans="1:18">
      <c r="A36" s="240" t="s">
        <v>64</v>
      </c>
      <c r="B36" s="241"/>
      <c r="C36" s="242"/>
      <c r="D36" s="75">
        <f>IF(SUMPRODUCT(--(D31:D35&lt;&gt;""))=0,"",ROUND(AVERAGE(D31:D35),2))</f>
        <v>2.6</v>
      </c>
      <c r="E36" s="75">
        <f t="shared" ref="E36:Q36" si="0">IF(SUMPRODUCT(--(E31:E35&lt;&gt;""))=0,"",ROUND(AVERAGE(E31:E35),2))</f>
        <v>2.6</v>
      </c>
      <c r="F36" s="75">
        <f t="shared" si="0"/>
        <v>2.6</v>
      </c>
      <c r="G36" s="75">
        <f t="shared" si="0"/>
        <v>2.2000000000000002</v>
      </c>
      <c r="H36" s="75">
        <f t="shared" si="0"/>
        <v>1.8</v>
      </c>
      <c r="I36" s="75" t="e">
        <f t="shared" si="0"/>
        <v>#DIV/0!</v>
      </c>
      <c r="J36" s="75" t="e">
        <f t="shared" si="0"/>
        <v>#DIV/0!</v>
      </c>
      <c r="K36" s="75" t="e">
        <f t="shared" si="0"/>
        <v>#DIV/0!</v>
      </c>
      <c r="L36" s="75" t="e">
        <f t="shared" si="0"/>
        <v>#DIV/0!</v>
      </c>
      <c r="M36" s="75">
        <f t="shared" si="0"/>
        <v>2</v>
      </c>
      <c r="N36" s="75" t="e">
        <f t="shared" si="0"/>
        <v>#DIV/0!</v>
      </c>
      <c r="O36" s="75">
        <f t="shared" si="0"/>
        <v>2</v>
      </c>
      <c r="P36" s="75">
        <f t="shared" si="0"/>
        <v>2</v>
      </c>
      <c r="Q36" s="75">
        <f t="shared" si="0"/>
        <v>2</v>
      </c>
      <c r="R36" s="75">
        <f>IF(SUMPRODUCT(--(R31:R35&lt;&gt;""))=0,"",ROUND(AVERAGE(R31:R35),2))</f>
        <v>2</v>
      </c>
    </row>
    <row r="37" spans="1:18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</row>
    <row r="38" spans="1:18">
      <c r="A38" s="235" t="s">
        <v>65</v>
      </c>
      <c r="B38" s="236"/>
      <c r="C38" s="236"/>
      <c r="D38" s="236"/>
      <c r="E38" s="236"/>
      <c r="F38" s="236"/>
      <c r="G38" s="236"/>
      <c r="H38" s="236"/>
      <c r="I38" s="236"/>
      <c r="J38" s="236"/>
      <c r="K38" s="236"/>
      <c r="L38" s="236"/>
      <c r="M38" s="236"/>
      <c r="N38" s="236"/>
      <c r="O38" s="236"/>
      <c r="P38" s="236"/>
      <c r="Q38" s="236"/>
      <c r="R38" s="236"/>
    </row>
    <row r="39" spans="1:18">
      <c r="A39" s="76" t="s">
        <v>48</v>
      </c>
      <c r="B39" s="76" t="s">
        <v>66</v>
      </c>
      <c r="C39" s="73" t="s">
        <v>111</v>
      </c>
      <c r="D39" s="76" t="s">
        <v>50</v>
      </c>
      <c r="E39" s="76" t="s">
        <v>51</v>
      </c>
      <c r="F39" s="76" t="s">
        <v>52</v>
      </c>
      <c r="G39" s="76" t="s">
        <v>53</v>
      </c>
      <c r="H39" s="76" t="s">
        <v>54</v>
      </c>
      <c r="I39" s="76" t="s">
        <v>55</v>
      </c>
      <c r="J39" s="76" t="s">
        <v>56</v>
      </c>
      <c r="K39" s="76" t="s">
        <v>57</v>
      </c>
      <c r="L39" s="76" t="s">
        <v>58</v>
      </c>
      <c r="M39" s="76" t="s">
        <v>59</v>
      </c>
      <c r="N39" s="76" t="s">
        <v>60</v>
      </c>
      <c r="O39" s="76" t="s">
        <v>61</v>
      </c>
      <c r="P39" s="76" t="s">
        <v>62</v>
      </c>
      <c r="Q39" s="76" t="s">
        <v>63</v>
      </c>
      <c r="R39" s="76" t="s">
        <v>158</v>
      </c>
    </row>
    <row r="40" spans="1:18">
      <c r="A40" s="76">
        <v>1</v>
      </c>
      <c r="B40" s="76" t="s">
        <v>3</v>
      </c>
      <c r="C40" s="66" t="str">
        <f>IF(ISNUMBER(C22),"A","NA")</f>
        <v>A</v>
      </c>
      <c r="D40" s="77">
        <f>IF(ISNUMBER(D31),D31*$J$22/100,"")</f>
        <v>2.2982456140350878</v>
      </c>
      <c r="E40" s="77">
        <f t="shared" ref="E40:Q40" si="1">IF(ISNUMBER(E31),E31*$J$22/100,"")</f>
        <v>0.76608187134502925</v>
      </c>
      <c r="F40" s="77">
        <f t="shared" si="1"/>
        <v>1.5321637426900585</v>
      </c>
      <c r="G40" s="77">
        <f t="shared" si="1"/>
        <v>1.5321637426900585</v>
      </c>
      <c r="H40" s="77">
        <f t="shared" si="1"/>
        <v>1.5321637426900585</v>
      </c>
      <c r="I40" s="77" t="str">
        <f t="shared" si="1"/>
        <v/>
      </c>
      <c r="J40" s="77" t="str">
        <f t="shared" si="1"/>
        <v/>
      </c>
      <c r="K40" s="77" t="str">
        <f t="shared" si="1"/>
        <v/>
      </c>
      <c r="L40" s="77" t="str">
        <f t="shared" si="1"/>
        <v/>
      </c>
      <c r="M40" s="77">
        <f t="shared" si="1"/>
        <v>1.5321637426900585</v>
      </c>
      <c r="N40" s="77" t="str">
        <f t="shared" si="1"/>
        <v/>
      </c>
      <c r="O40" s="77">
        <f t="shared" si="1"/>
        <v>1.5321637426900585</v>
      </c>
      <c r="P40" s="77">
        <f t="shared" si="1"/>
        <v>1.5321637426900585</v>
      </c>
      <c r="Q40" s="77">
        <f t="shared" si="1"/>
        <v>1.5321637426900585</v>
      </c>
      <c r="R40" s="77">
        <f>IF(ISNUMBER(R31),R31*$J$22/100,"")</f>
        <v>1.5321637426900585</v>
      </c>
    </row>
    <row r="41" spans="1:18">
      <c r="A41" s="76">
        <v>2</v>
      </c>
      <c r="B41" s="76" t="s">
        <v>4</v>
      </c>
      <c r="C41" s="66" t="str">
        <f>IF(ISNUMBER(C23),"A","NA")</f>
        <v>A</v>
      </c>
      <c r="D41" s="77">
        <f>IF(ISNUMBER(D32),D32*$J$23/100,"")</f>
        <v>1.6608187134502925</v>
      </c>
      <c r="E41" s="77">
        <f t="shared" ref="E41:Q41" si="2">IF(ISNUMBER(E32),E32*$J$23/100,"")</f>
        <v>2.4912280701754388</v>
      </c>
      <c r="F41" s="77">
        <f t="shared" si="2"/>
        <v>1.6608187134502925</v>
      </c>
      <c r="G41" s="77">
        <f t="shared" si="2"/>
        <v>1.6608187134502925</v>
      </c>
      <c r="H41" s="77">
        <f t="shared" si="2"/>
        <v>0.83040935672514626</v>
      </c>
      <c r="I41" s="77" t="str">
        <f t="shared" si="2"/>
        <v/>
      </c>
      <c r="J41" s="77" t="str">
        <f t="shared" si="2"/>
        <v/>
      </c>
      <c r="K41" s="77" t="str">
        <f t="shared" si="2"/>
        <v/>
      </c>
      <c r="L41" s="77" t="str">
        <f t="shared" si="2"/>
        <v/>
      </c>
      <c r="M41" s="77">
        <f t="shared" si="2"/>
        <v>1.6608187134502925</v>
      </c>
      <c r="N41" s="77" t="str">
        <f t="shared" si="2"/>
        <v/>
      </c>
      <c r="O41" s="77">
        <f t="shared" si="2"/>
        <v>1.6608187134502925</v>
      </c>
      <c r="P41" s="77">
        <f t="shared" si="2"/>
        <v>1.6608187134502925</v>
      </c>
      <c r="Q41" s="77">
        <f t="shared" si="2"/>
        <v>1.6608187134502925</v>
      </c>
      <c r="R41" s="77">
        <f>IF(ISNUMBER(R32),R32*$J$22/100,"")</f>
        <v>1.5321637426900585</v>
      </c>
    </row>
    <row r="42" spans="1:18">
      <c r="A42" s="76">
        <v>3</v>
      </c>
      <c r="B42" s="76" t="s">
        <v>5</v>
      </c>
      <c r="C42" s="66" t="str">
        <f>IF(ISNUMBER(C24),"A","NA")</f>
        <v>A</v>
      </c>
      <c r="D42" s="77">
        <f>IF(ISNUMBER(D33),D33*$J$24/100,"")</f>
        <v>2.4912280701754388</v>
      </c>
      <c r="E42" s="77">
        <f t="shared" ref="E42:Q42" si="3">IF(ISNUMBER(E33),E33*$J$24/100,"")</f>
        <v>2.4912280701754388</v>
      </c>
      <c r="F42" s="77">
        <f t="shared" si="3"/>
        <v>2.4912280701754388</v>
      </c>
      <c r="G42" s="77">
        <f t="shared" si="3"/>
        <v>1.6608187134502925</v>
      </c>
      <c r="H42" s="77">
        <f t="shared" si="3"/>
        <v>1.6608187134502925</v>
      </c>
      <c r="I42" s="77" t="str">
        <f t="shared" si="3"/>
        <v/>
      </c>
      <c r="J42" s="77" t="str">
        <f t="shared" si="3"/>
        <v/>
      </c>
      <c r="K42" s="77" t="str">
        <f t="shared" si="3"/>
        <v/>
      </c>
      <c r="L42" s="77" t="str">
        <f t="shared" si="3"/>
        <v/>
      </c>
      <c r="M42" s="77">
        <f t="shared" si="3"/>
        <v>1.6608187134502925</v>
      </c>
      <c r="N42" s="77" t="str">
        <f t="shared" si="3"/>
        <v/>
      </c>
      <c r="O42" s="77">
        <f t="shared" si="3"/>
        <v>1.6608187134502925</v>
      </c>
      <c r="P42" s="77">
        <f t="shared" si="3"/>
        <v>1.6608187134502925</v>
      </c>
      <c r="Q42" s="77">
        <f t="shared" si="3"/>
        <v>1.6608187134502925</v>
      </c>
      <c r="R42" s="77">
        <f>IF(ISNUMBER(R33),R33*$J$22/100,"")</f>
        <v>1.5321637426900585</v>
      </c>
    </row>
    <row r="43" spans="1:18">
      <c r="A43" s="76">
        <v>4</v>
      </c>
      <c r="B43" s="76" t="s">
        <v>7</v>
      </c>
      <c r="C43" s="66" t="str">
        <f>IF(ISNUMBER(C25),"A","NA")</f>
        <v>A</v>
      </c>
      <c r="D43" s="77">
        <f>IF(ISNUMBER(D34),D34*$J$25/100,"")</f>
        <v>1.5789473684210527</v>
      </c>
      <c r="E43" s="77">
        <f t="shared" ref="E43:Q43" si="4">IF(ISNUMBER(E34),E34*$J$25/100,"")</f>
        <v>2.3684210526315788</v>
      </c>
      <c r="F43" s="77">
        <f t="shared" si="4"/>
        <v>2.3684210526315788</v>
      </c>
      <c r="G43" s="77">
        <f t="shared" si="4"/>
        <v>2.3684210526315788</v>
      </c>
      <c r="H43" s="77">
        <f t="shared" si="4"/>
        <v>1.5789473684210527</v>
      </c>
      <c r="I43" s="77" t="str">
        <f t="shared" si="4"/>
        <v/>
      </c>
      <c r="J43" s="77" t="str">
        <f t="shared" si="4"/>
        <v/>
      </c>
      <c r="K43" s="77" t="str">
        <f t="shared" si="4"/>
        <v/>
      </c>
      <c r="L43" s="77" t="str">
        <f t="shared" si="4"/>
        <v/>
      </c>
      <c r="M43" s="77">
        <f t="shared" si="4"/>
        <v>1.5789473684210527</v>
      </c>
      <c r="N43" s="77" t="str">
        <f t="shared" si="4"/>
        <v/>
      </c>
      <c r="O43" s="77">
        <f t="shared" si="4"/>
        <v>1.5789473684210527</v>
      </c>
      <c r="P43" s="77">
        <f t="shared" si="4"/>
        <v>1.5789473684210527</v>
      </c>
      <c r="Q43" s="77">
        <f t="shared" si="4"/>
        <v>1.5789473684210527</v>
      </c>
      <c r="R43" s="77">
        <f>IF(ISNUMBER(R34),R34*$J$22/100,"")</f>
        <v>1.5321637426900585</v>
      </c>
    </row>
    <row r="44" spans="1:18">
      <c r="A44" s="76">
        <v>5</v>
      </c>
      <c r="B44" s="76" t="s">
        <v>8</v>
      </c>
      <c r="C44" s="66" t="str">
        <f>IF(ISNUMBER(C26),"A","NA")</f>
        <v>A</v>
      </c>
      <c r="D44" s="77">
        <f t="shared" ref="D44:Q44" si="5">IF(ISNUMBER(D35),D35*$J$26/100,"")</f>
        <v>2.4385964912280702</v>
      </c>
      <c r="E44" s="77">
        <f t="shared" si="5"/>
        <v>2.4385964912280702</v>
      </c>
      <c r="F44" s="77">
        <f t="shared" si="5"/>
        <v>2.4385964912280702</v>
      </c>
      <c r="G44" s="77">
        <f t="shared" si="5"/>
        <v>1.625730994152047</v>
      </c>
      <c r="H44" s="77">
        <f t="shared" si="5"/>
        <v>1.625730994152047</v>
      </c>
      <c r="I44" s="77" t="str">
        <f t="shared" si="5"/>
        <v/>
      </c>
      <c r="J44" s="77" t="str">
        <f t="shared" si="5"/>
        <v/>
      </c>
      <c r="K44" s="77" t="str">
        <f t="shared" si="5"/>
        <v/>
      </c>
      <c r="L44" s="77" t="str">
        <f t="shared" si="5"/>
        <v/>
      </c>
      <c r="M44" s="77">
        <f t="shared" si="5"/>
        <v>1.625730994152047</v>
      </c>
      <c r="N44" s="77" t="str">
        <f t="shared" si="5"/>
        <v/>
      </c>
      <c r="O44" s="77">
        <f t="shared" si="5"/>
        <v>1.625730994152047</v>
      </c>
      <c r="P44" s="77">
        <f t="shared" si="5"/>
        <v>1.625730994152047</v>
      </c>
      <c r="Q44" s="77">
        <f t="shared" si="5"/>
        <v>1.625730994152047</v>
      </c>
      <c r="R44" s="77">
        <f>IF(ISNUMBER(R35),R35*$J$22/100,"")</f>
        <v>1.5321637426900585</v>
      </c>
    </row>
    <row r="45" spans="1:18">
      <c r="A45" s="229" t="s">
        <v>64</v>
      </c>
      <c r="B45" s="230"/>
      <c r="C45" s="231"/>
      <c r="D45" s="77">
        <f>IF(SUMPRODUCT(--(D31:D35&lt;&gt;""))=0,"",ROUND(AVERAGE(D40:D44),2))</f>
        <v>2.09</v>
      </c>
      <c r="E45" s="77">
        <f t="shared" ref="E45:R45" si="6">IF(SUMPRODUCT(--(E31:E35&lt;&gt;""))=0,"",ROUND(AVERAGE(E40:E44),2))</f>
        <v>2.11</v>
      </c>
      <c r="F45" s="77">
        <f t="shared" si="6"/>
        <v>2.1</v>
      </c>
      <c r="G45" s="77">
        <f t="shared" si="6"/>
        <v>1.77</v>
      </c>
      <c r="H45" s="77">
        <f t="shared" si="6"/>
        <v>1.45</v>
      </c>
      <c r="I45" s="77" t="e">
        <f t="shared" si="6"/>
        <v>#DIV/0!</v>
      </c>
      <c r="J45" s="77" t="e">
        <f t="shared" si="6"/>
        <v>#DIV/0!</v>
      </c>
      <c r="K45" s="77" t="e">
        <f t="shared" si="6"/>
        <v>#DIV/0!</v>
      </c>
      <c r="L45" s="77" t="e">
        <f t="shared" si="6"/>
        <v>#DIV/0!</v>
      </c>
      <c r="M45" s="77">
        <f t="shared" si="6"/>
        <v>1.61</v>
      </c>
      <c r="N45" s="77" t="e">
        <f t="shared" si="6"/>
        <v>#DIV/0!</v>
      </c>
      <c r="O45" s="77">
        <f t="shared" si="6"/>
        <v>1.61</v>
      </c>
      <c r="P45" s="77">
        <f t="shared" si="6"/>
        <v>1.61</v>
      </c>
      <c r="Q45" s="77">
        <f t="shared" si="6"/>
        <v>1.61</v>
      </c>
      <c r="R45" s="77">
        <f t="shared" si="6"/>
        <v>1.53</v>
      </c>
    </row>
  </sheetData>
  <protectedRanges>
    <protectedRange sqref="C22:C26" name="Range1"/>
  </protectedRanges>
  <mergeCells count="36">
    <mergeCell ref="D8:Q8"/>
    <mergeCell ref="D9:Q9"/>
    <mergeCell ref="D10:Q10"/>
    <mergeCell ref="C16:I16"/>
    <mergeCell ref="A36:C36"/>
    <mergeCell ref="A17:B17"/>
    <mergeCell ref="A20:E20"/>
    <mergeCell ref="F20:I20"/>
    <mergeCell ref="A12:J12"/>
    <mergeCell ref="A13:B13"/>
    <mergeCell ref="A16:B16"/>
    <mergeCell ref="C17:I17"/>
    <mergeCell ref="A27:I27"/>
    <mergeCell ref="A1:Q1"/>
    <mergeCell ref="A2:Q2"/>
    <mergeCell ref="E3:Q3"/>
    <mergeCell ref="E4:I4"/>
    <mergeCell ref="J4:Q4"/>
    <mergeCell ref="A3:D3"/>
    <mergeCell ref="A4:D4"/>
    <mergeCell ref="A5:Q5"/>
    <mergeCell ref="D6:Q6"/>
    <mergeCell ref="D7:Q7"/>
    <mergeCell ref="A45:C45"/>
    <mergeCell ref="A8:C8"/>
    <mergeCell ref="A6:C6"/>
    <mergeCell ref="A7:C7"/>
    <mergeCell ref="A9:C9"/>
    <mergeCell ref="A10:C10"/>
    <mergeCell ref="A29:R29"/>
    <mergeCell ref="A38:R38"/>
    <mergeCell ref="C13:I13"/>
    <mergeCell ref="A14:B14"/>
    <mergeCell ref="C14:I14"/>
    <mergeCell ref="A15:B15"/>
    <mergeCell ref="C15:I15"/>
  </mergeCells>
  <conditionalFormatting sqref="D31:R36 D40:R45">
    <cfRule type="containsBlanks" dxfId="2" priority="2">
      <formula>LEN(TRIM(D31))=0</formula>
    </cfRule>
  </conditionalFormatting>
  <conditionalFormatting sqref="D22:G26">
    <cfRule type="expression" dxfId="1" priority="1">
      <formula>$C22:$C26="NA"</formula>
    </cfRule>
  </conditionalFormatting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37"/>
  <sheetViews>
    <sheetView workbookViewId="0">
      <selection sqref="A1:Q1"/>
    </sheetView>
  </sheetViews>
  <sheetFormatPr defaultRowHeight="15"/>
  <cols>
    <col min="17" max="17" width="8.42578125" customWidth="1"/>
    <col min="18" max="18" width="15.5703125" customWidth="1"/>
  </cols>
  <sheetData>
    <row r="1" spans="1:18" ht="18.75">
      <c r="A1" s="132" t="s">
        <v>148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</row>
    <row r="2" spans="1:18" ht="18.75">
      <c r="A2" s="132" t="s">
        <v>152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</row>
    <row r="3" spans="1:18" s="3" customFormat="1" ht="36" customHeight="1">
      <c r="A3" s="226" t="str">
        <f>'DATA INPUT SHEET'!A3:E3</f>
        <v>Semester: III</v>
      </c>
      <c r="B3" s="227"/>
      <c r="C3" s="227"/>
      <c r="D3" s="248"/>
      <c r="E3" s="226" t="str">
        <f>'DATA INPUT SHEET'!E3</f>
        <v>Name of the Faculty: Dr. Prateek Gangwar</v>
      </c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48"/>
    </row>
    <row r="4" spans="1:18" ht="18.75">
      <c r="A4" s="132" t="str">
        <f>'DATA INPUT SHEET'!A4:E4</f>
        <v>Subject Code: BME-303</v>
      </c>
      <c r="B4" s="132"/>
      <c r="C4" s="132"/>
      <c r="D4" s="132"/>
      <c r="E4" s="222" t="str">
        <f>'DATA INPUT SHEET'!F4</f>
        <v>Total No. of Students: 18</v>
      </c>
      <c r="F4" s="223"/>
      <c r="G4" s="223"/>
      <c r="H4" s="223"/>
      <c r="I4" s="225"/>
      <c r="J4" s="132" t="str">
        <f>'DATA INPUT SHEET'!K4</f>
        <v>Subject Name:Materials Engineering</v>
      </c>
      <c r="K4" s="132"/>
      <c r="L4" s="132"/>
      <c r="M4" s="132"/>
      <c r="N4" s="132"/>
      <c r="O4" s="132"/>
      <c r="P4" s="132"/>
      <c r="Q4" s="132"/>
    </row>
    <row r="5" spans="1:18" ht="18.75">
      <c r="A5" s="249"/>
      <c r="B5" s="249"/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</row>
    <row r="6" spans="1:18" ht="15.75" customHeight="1">
      <c r="A6" s="194" t="s">
        <v>132</v>
      </c>
      <c r="B6" s="194"/>
      <c r="C6" s="194"/>
      <c r="D6" s="194"/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</row>
    <row r="7" spans="1:18" ht="24">
      <c r="A7" s="78" t="s">
        <v>48</v>
      </c>
      <c r="B7" s="79" t="s">
        <v>112</v>
      </c>
      <c r="C7" s="78" t="s">
        <v>50</v>
      </c>
      <c r="D7" s="78" t="s">
        <v>51</v>
      </c>
      <c r="E7" s="78" t="s">
        <v>52</v>
      </c>
      <c r="F7" s="78" t="s">
        <v>53</v>
      </c>
      <c r="G7" s="78" t="s">
        <v>54</v>
      </c>
      <c r="H7" s="78" t="s">
        <v>55</v>
      </c>
      <c r="I7" s="78" t="s">
        <v>56</v>
      </c>
      <c r="J7" s="78" t="s">
        <v>57</v>
      </c>
      <c r="K7" s="78" t="s">
        <v>58</v>
      </c>
      <c r="L7" s="78" t="s">
        <v>59</v>
      </c>
      <c r="M7" s="78" t="s">
        <v>60</v>
      </c>
      <c r="N7" s="78" t="s">
        <v>61</v>
      </c>
      <c r="O7" s="80" t="s">
        <v>62</v>
      </c>
      <c r="P7" s="78" t="s">
        <v>63</v>
      </c>
      <c r="Q7" s="78" t="s">
        <v>158</v>
      </c>
    </row>
    <row r="8" spans="1:18">
      <c r="A8" s="78">
        <v>1</v>
      </c>
      <c r="B8" s="79" t="s">
        <v>3</v>
      </c>
      <c r="C8" s="81">
        <f>Indirect!D31</f>
        <v>3</v>
      </c>
      <c r="D8" s="81">
        <f>Indirect!E31</f>
        <v>1</v>
      </c>
      <c r="E8" s="81">
        <f>Indirect!F31</f>
        <v>2</v>
      </c>
      <c r="F8" s="81">
        <f>Indirect!G31</f>
        <v>2</v>
      </c>
      <c r="G8" s="81">
        <f>Indirect!H31</f>
        <v>2</v>
      </c>
      <c r="H8" s="81" t="str">
        <f>Indirect!I31</f>
        <v>-</v>
      </c>
      <c r="I8" s="81" t="str">
        <f>Indirect!J31</f>
        <v>-</v>
      </c>
      <c r="J8" s="81" t="str">
        <f>Indirect!K31</f>
        <v>-</v>
      </c>
      <c r="K8" s="81" t="str">
        <f>Indirect!L31</f>
        <v>-</v>
      </c>
      <c r="L8" s="81">
        <f>Indirect!M31</f>
        <v>2</v>
      </c>
      <c r="M8" s="81" t="str">
        <f>Indirect!N31</f>
        <v>-</v>
      </c>
      <c r="N8" s="81">
        <f>Indirect!O31</f>
        <v>2</v>
      </c>
      <c r="O8" s="81">
        <f>Indirect!P31</f>
        <v>2</v>
      </c>
      <c r="P8" s="81">
        <f>Indirect!Q31</f>
        <v>2</v>
      </c>
      <c r="Q8" s="81">
        <f>Indirect!R31</f>
        <v>2</v>
      </c>
    </row>
    <row r="9" spans="1:18">
      <c r="A9" s="78">
        <v>2</v>
      </c>
      <c r="B9" s="79" t="s">
        <v>4</v>
      </c>
      <c r="C9" s="81">
        <f>Indirect!D32</f>
        <v>2</v>
      </c>
      <c r="D9" s="81">
        <f>Indirect!E32</f>
        <v>3</v>
      </c>
      <c r="E9" s="81">
        <f>Indirect!F32</f>
        <v>2</v>
      </c>
      <c r="F9" s="81">
        <f>Indirect!G32</f>
        <v>2</v>
      </c>
      <c r="G9" s="81">
        <f>Indirect!H32</f>
        <v>1</v>
      </c>
      <c r="H9" s="81" t="str">
        <f>Indirect!I32</f>
        <v>-</v>
      </c>
      <c r="I9" s="81" t="str">
        <f>Indirect!J32</f>
        <v>-</v>
      </c>
      <c r="J9" s="81" t="str">
        <f>Indirect!K32</f>
        <v>-</v>
      </c>
      <c r="K9" s="81" t="str">
        <f>Indirect!L32</f>
        <v>-</v>
      </c>
      <c r="L9" s="81">
        <f>Indirect!M32</f>
        <v>2</v>
      </c>
      <c r="M9" s="81" t="str">
        <f>Indirect!N32</f>
        <v>-</v>
      </c>
      <c r="N9" s="81">
        <f>Indirect!O32</f>
        <v>2</v>
      </c>
      <c r="O9" s="81">
        <f>Indirect!P32</f>
        <v>2</v>
      </c>
      <c r="P9" s="81">
        <f>Indirect!Q32</f>
        <v>2</v>
      </c>
      <c r="Q9" s="81">
        <f>Indirect!R32</f>
        <v>2</v>
      </c>
    </row>
    <row r="10" spans="1:18">
      <c r="A10" s="78">
        <v>3</v>
      </c>
      <c r="B10" s="79" t="s">
        <v>5</v>
      </c>
      <c r="C10" s="81">
        <f>Indirect!D33</f>
        <v>3</v>
      </c>
      <c r="D10" s="81">
        <f>Indirect!E33</f>
        <v>3</v>
      </c>
      <c r="E10" s="81">
        <f>Indirect!F33</f>
        <v>3</v>
      </c>
      <c r="F10" s="81">
        <f>Indirect!G33</f>
        <v>2</v>
      </c>
      <c r="G10" s="81">
        <f>Indirect!H33</f>
        <v>2</v>
      </c>
      <c r="H10" s="81" t="str">
        <f>Indirect!I33</f>
        <v>-</v>
      </c>
      <c r="I10" s="81" t="str">
        <f>Indirect!J33</f>
        <v>-</v>
      </c>
      <c r="J10" s="81" t="str">
        <f>Indirect!K33</f>
        <v>-</v>
      </c>
      <c r="K10" s="81" t="str">
        <f>Indirect!L33</f>
        <v>-</v>
      </c>
      <c r="L10" s="81">
        <f>Indirect!M33</f>
        <v>2</v>
      </c>
      <c r="M10" s="81" t="str">
        <f>Indirect!N33</f>
        <v>-</v>
      </c>
      <c r="N10" s="81">
        <f>Indirect!O33</f>
        <v>2</v>
      </c>
      <c r="O10" s="81">
        <f>Indirect!P33</f>
        <v>2</v>
      </c>
      <c r="P10" s="81">
        <f>Indirect!Q33</f>
        <v>2</v>
      </c>
      <c r="Q10" s="81">
        <f>Indirect!R33</f>
        <v>2</v>
      </c>
    </row>
    <row r="11" spans="1:18">
      <c r="A11" s="78">
        <v>4</v>
      </c>
      <c r="B11" s="79" t="s">
        <v>7</v>
      </c>
      <c r="C11" s="81">
        <f>Indirect!D34</f>
        <v>2</v>
      </c>
      <c r="D11" s="81">
        <f>Indirect!E34</f>
        <v>3</v>
      </c>
      <c r="E11" s="81">
        <f>Indirect!F34</f>
        <v>3</v>
      </c>
      <c r="F11" s="81">
        <f>Indirect!G34</f>
        <v>3</v>
      </c>
      <c r="G11" s="81">
        <f>Indirect!H34</f>
        <v>2</v>
      </c>
      <c r="H11" s="81" t="str">
        <f>Indirect!I34</f>
        <v>-</v>
      </c>
      <c r="I11" s="81" t="str">
        <f>Indirect!J34</f>
        <v>-</v>
      </c>
      <c r="J11" s="81" t="str">
        <f>Indirect!K34</f>
        <v>-</v>
      </c>
      <c r="K11" s="81" t="str">
        <f>Indirect!L34</f>
        <v>-</v>
      </c>
      <c r="L11" s="81">
        <f>Indirect!M34</f>
        <v>2</v>
      </c>
      <c r="M11" s="81" t="str">
        <f>Indirect!N34</f>
        <v>-</v>
      </c>
      <c r="N11" s="81">
        <f>Indirect!O34</f>
        <v>2</v>
      </c>
      <c r="O11" s="81">
        <f>Indirect!P34</f>
        <v>2</v>
      </c>
      <c r="P11" s="81">
        <f>Indirect!Q34</f>
        <v>2</v>
      </c>
      <c r="Q11" s="81">
        <f>Indirect!R34</f>
        <v>2</v>
      </c>
    </row>
    <row r="12" spans="1:18">
      <c r="A12" s="78">
        <v>5</v>
      </c>
      <c r="B12" s="79" t="s">
        <v>8</v>
      </c>
      <c r="C12" s="81">
        <f>Indirect!D35</f>
        <v>3</v>
      </c>
      <c r="D12" s="81">
        <f>Indirect!E35</f>
        <v>3</v>
      </c>
      <c r="E12" s="81">
        <f>Indirect!F35</f>
        <v>3</v>
      </c>
      <c r="F12" s="81">
        <f>Indirect!G35</f>
        <v>2</v>
      </c>
      <c r="G12" s="81">
        <f>Indirect!H35</f>
        <v>2</v>
      </c>
      <c r="H12" s="81" t="str">
        <f>Indirect!I35</f>
        <v/>
      </c>
      <c r="I12" s="81" t="str">
        <f>Indirect!J35</f>
        <v/>
      </c>
      <c r="J12" s="81" t="str">
        <f>Indirect!K35</f>
        <v/>
      </c>
      <c r="K12" s="81" t="str">
        <f>Indirect!L35</f>
        <v/>
      </c>
      <c r="L12" s="81">
        <f>Indirect!M35</f>
        <v>2</v>
      </c>
      <c r="M12" s="81" t="str">
        <f>Indirect!N35</f>
        <v/>
      </c>
      <c r="N12" s="81">
        <f>Indirect!O35</f>
        <v>2</v>
      </c>
      <c r="O12" s="81">
        <f>Indirect!P35</f>
        <v>2</v>
      </c>
      <c r="P12" s="81">
        <f>Indirect!Q35</f>
        <v>2</v>
      </c>
      <c r="Q12" s="81">
        <f>Indirect!R35</f>
        <v>2</v>
      </c>
    </row>
    <row r="13" spans="1:18">
      <c r="A13" s="250" t="s">
        <v>113</v>
      </c>
      <c r="B13" s="251"/>
      <c r="C13" s="82">
        <f>IF(SUMPRODUCT(--(C8:C12&lt;&gt;""))=0,"",ROUND(AVERAGE(C8:C12),2))</f>
        <v>2.6</v>
      </c>
      <c r="D13" s="82">
        <f t="shared" ref="D13:Q13" si="0">IF(SUMPRODUCT(--(D8:D12&lt;&gt;""))=0,"",ROUND(AVERAGE(D8:D12),2))</f>
        <v>2.6</v>
      </c>
      <c r="E13" s="82">
        <f t="shared" si="0"/>
        <v>2.6</v>
      </c>
      <c r="F13" s="82">
        <f t="shared" si="0"/>
        <v>2.2000000000000002</v>
      </c>
      <c r="G13" s="82">
        <f t="shared" si="0"/>
        <v>1.8</v>
      </c>
      <c r="H13" s="82" t="e">
        <f t="shared" si="0"/>
        <v>#DIV/0!</v>
      </c>
      <c r="I13" s="82" t="e">
        <f t="shared" si="0"/>
        <v>#DIV/0!</v>
      </c>
      <c r="J13" s="82" t="e">
        <f t="shared" si="0"/>
        <v>#DIV/0!</v>
      </c>
      <c r="K13" s="82" t="e">
        <f>IF(SUMPRODUCT(--(K8:K12&lt;&gt;""))=0,"",ROUND(AVERAGE(K8:K12),2))</f>
        <v>#DIV/0!</v>
      </c>
      <c r="L13" s="82">
        <f t="shared" si="0"/>
        <v>2</v>
      </c>
      <c r="M13" s="82" t="e">
        <f t="shared" si="0"/>
        <v>#DIV/0!</v>
      </c>
      <c r="N13" s="82">
        <f t="shared" si="0"/>
        <v>2</v>
      </c>
      <c r="O13" s="82">
        <f t="shared" si="0"/>
        <v>2</v>
      </c>
      <c r="P13" s="82">
        <f t="shared" si="0"/>
        <v>2</v>
      </c>
      <c r="Q13" s="82">
        <f t="shared" si="0"/>
        <v>2</v>
      </c>
    </row>
    <row r="14" spans="1:18">
      <c r="A14" s="83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</row>
    <row r="15" spans="1:18" ht="15" customHeight="1">
      <c r="A15" s="194" t="s">
        <v>114</v>
      </c>
      <c r="B15" s="194"/>
      <c r="C15" s="194"/>
      <c r="D15" s="194"/>
      <c r="E15" s="194"/>
      <c r="F15" s="194"/>
      <c r="G15" s="194"/>
      <c r="H15" s="194"/>
      <c r="I15" s="194"/>
      <c r="J15" s="194"/>
      <c r="K15" s="194"/>
      <c r="L15" s="194"/>
      <c r="M15" s="194"/>
      <c r="N15" s="194"/>
      <c r="O15" s="194"/>
      <c r="P15" s="194"/>
      <c r="Q15" s="194"/>
      <c r="R15" s="194"/>
    </row>
    <row r="16" spans="1:18" ht="24">
      <c r="A16" s="79" t="s">
        <v>48</v>
      </c>
      <c r="B16" s="79" t="s">
        <v>112</v>
      </c>
      <c r="C16" s="79" t="s">
        <v>50</v>
      </c>
      <c r="D16" s="79" t="s">
        <v>51</v>
      </c>
      <c r="E16" s="79" t="s">
        <v>52</v>
      </c>
      <c r="F16" s="79" t="s">
        <v>53</v>
      </c>
      <c r="G16" s="79" t="s">
        <v>54</v>
      </c>
      <c r="H16" s="79" t="s">
        <v>55</v>
      </c>
      <c r="I16" s="79" t="s">
        <v>56</v>
      </c>
      <c r="J16" s="79" t="s">
        <v>57</v>
      </c>
      <c r="K16" s="79" t="s">
        <v>58</v>
      </c>
      <c r="L16" s="79" t="s">
        <v>59</v>
      </c>
      <c r="M16" s="79" t="s">
        <v>60</v>
      </c>
      <c r="N16" s="79" t="s">
        <v>61</v>
      </c>
      <c r="O16" s="79" t="s">
        <v>62</v>
      </c>
      <c r="P16" s="79" t="s">
        <v>63</v>
      </c>
      <c r="Q16" s="79" t="s">
        <v>158</v>
      </c>
      <c r="R16" s="84" t="s">
        <v>115</v>
      </c>
    </row>
    <row r="17" spans="1:18">
      <c r="A17" s="79">
        <v>1</v>
      </c>
      <c r="B17" s="79" t="s">
        <v>3</v>
      </c>
      <c r="C17" s="85">
        <f t="shared" ref="C17:Q17" si="1">IF($R$17="NOT APPLICABLE","",IF(ISNUMBER(C8),C8*$R$17/100,""))</f>
        <v>1.4533199999999999</v>
      </c>
      <c r="D17" s="85">
        <f t="shared" si="1"/>
        <v>0.48444000000000004</v>
      </c>
      <c r="E17" s="85">
        <f t="shared" si="1"/>
        <v>0.96888000000000007</v>
      </c>
      <c r="F17" s="85">
        <f t="shared" si="1"/>
        <v>0.96888000000000007</v>
      </c>
      <c r="G17" s="85">
        <f t="shared" si="1"/>
        <v>0.96888000000000007</v>
      </c>
      <c r="H17" s="85" t="str">
        <f t="shared" si="1"/>
        <v/>
      </c>
      <c r="I17" s="85" t="str">
        <f t="shared" si="1"/>
        <v/>
      </c>
      <c r="J17" s="85" t="str">
        <f t="shared" si="1"/>
        <v/>
      </c>
      <c r="K17" s="85" t="str">
        <f t="shared" si="1"/>
        <v/>
      </c>
      <c r="L17" s="85">
        <f t="shared" si="1"/>
        <v>0.96888000000000007</v>
      </c>
      <c r="M17" s="85" t="str">
        <f t="shared" si="1"/>
        <v/>
      </c>
      <c r="N17" s="85">
        <f t="shared" si="1"/>
        <v>0.96888000000000007</v>
      </c>
      <c r="O17" s="85">
        <f t="shared" si="1"/>
        <v>0.96888000000000007</v>
      </c>
      <c r="P17" s="85">
        <f t="shared" si="1"/>
        <v>0.96888000000000007</v>
      </c>
      <c r="Q17" s="85">
        <f t="shared" si="1"/>
        <v>0.96888000000000007</v>
      </c>
      <c r="R17" s="85">
        <f>COAttainment!C35</f>
        <v>48.444000000000003</v>
      </c>
    </row>
    <row r="18" spans="1:18">
      <c r="A18" s="79">
        <v>2</v>
      </c>
      <c r="B18" s="79" t="s">
        <v>4</v>
      </c>
      <c r="C18" s="85">
        <f t="shared" ref="C18:P18" si="2">IF($R$18="NOT APPLICABLE","",IF(ISNUMBER(C9),C9*$R$18/100,""))</f>
        <v>0.96888000000000007</v>
      </c>
      <c r="D18" s="85">
        <f t="shared" si="2"/>
        <v>1.4533199999999999</v>
      </c>
      <c r="E18" s="85">
        <f t="shared" si="2"/>
        <v>0.96888000000000007</v>
      </c>
      <c r="F18" s="85">
        <f t="shared" si="2"/>
        <v>0.96888000000000007</v>
      </c>
      <c r="G18" s="85">
        <f t="shared" si="2"/>
        <v>0.48444000000000004</v>
      </c>
      <c r="H18" s="85" t="str">
        <f t="shared" si="2"/>
        <v/>
      </c>
      <c r="I18" s="85" t="str">
        <f t="shared" si="2"/>
        <v/>
      </c>
      <c r="J18" s="85" t="str">
        <f t="shared" si="2"/>
        <v/>
      </c>
      <c r="K18" s="85" t="str">
        <f t="shared" si="2"/>
        <v/>
      </c>
      <c r="L18" s="85">
        <f t="shared" si="2"/>
        <v>0.96888000000000007</v>
      </c>
      <c r="M18" s="85" t="str">
        <f t="shared" si="2"/>
        <v/>
      </c>
      <c r="N18" s="85">
        <f t="shared" si="2"/>
        <v>0.96888000000000007</v>
      </c>
      <c r="O18" s="85">
        <f t="shared" si="2"/>
        <v>0.96888000000000007</v>
      </c>
      <c r="P18" s="85">
        <f t="shared" si="2"/>
        <v>0.96888000000000007</v>
      </c>
      <c r="Q18" s="85">
        <f>IF($R$17="NOT APPLICABLE","",IF(ISNUMBER(Q9),Q9*$R$17/100,""))</f>
        <v>0.96888000000000007</v>
      </c>
      <c r="R18" s="85">
        <f>COAttainment!D35</f>
        <v>48.444000000000003</v>
      </c>
    </row>
    <row r="19" spans="1:18">
      <c r="A19" s="79">
        <v>3</v>
      </c>
      <c r="B19" s="79" t="s">
        <v>5</v>
      </c>
      <c r="C19" s="85">
        <f t="shared" ref="C19:P19" si="3">IF($R$19="NOT APPLICABLE","",IF(ISNUMBER(C10),C10*$R$19/100,""))</f>
        <v>1.4533199999999999</v>
      </c>
      <c r="D19" s="85">
        <f t="shared" si="3"/>
        <v>1.4533199999999999</v>
      </c>
      <c r="E19" s="85">
        <f t="shared" si="3"/>
        <v>1.4533199999999999</v>
      </c>
      <c r="F19" s="85">
        <f t="shared" si="3"/>
        <v>0.96888000000000007</v>
      </c>
      <c r="G19" s="85">
        <f t="shared" si="3"/>
        <v>0.96888000000000007</v>
      </c>
      <c r="H19" s="85" t="str">
        <f t="shared" si="3"/>
        <v/>
      </c>
      <c r="I19" s="85" t="str">
        <f t="shared" si="3"/>
        <v/>
      </c>
      <c r="J19" s="85" t="str">
        <f t="shared" si="3"/>
        <v/>
      </c>
      <c r="K19" s="85" t="str">
        <f t="shared" si="3"/>
        <v/>
      </c>
      <c r="L19" s="85">
        <f t="shared" si="3"/>
        <v>0.96888000000000007</v>
      </c>
      <c r="M19" s="85" t="str">
        <f t="shared" si="3"/>
        <v/>
      </c>
      <c r="N19" s="85">
        <f t="shared" si="3"/>
        <v>0.96888000000000007</v>
      </c>
      <c r="O19" s="85">
        <f t="shared" si="3"/>
        <v>0.96888000000000007</v>
      </c>
      <c r="P19" s="85">
        <f t="shared" si="3"/>
        <v>0.96888000000000007</v>
      </c>
      <c r="Q19" s="85">
        <f>IF($R$17="NOT APPLICABLE","",IF(ISNUMBER(Q10),Q10*$R$17/100,""))</f>
        <v>0.96888000000000007</v>
      </c>
      <c r="R19" s="85">
        <f>COAttainment!E35</f>
        <v>48.444000000000003</v>
      </c>
    </row>
    <row r="20" spans="1:18">
      <c r="A20" s="79">
        <v>4</v>
      </c>
      <c r="B20" s="79" t="s">
        <v>7</v>
      </c>
      <c r="C20" s="85">
        <f>IF(R20="NOT APPLICABLE","",IF(ISNUMBER(C11),C11*$R$20/100,""))</f>
        <v>0.96888000000000007</v>
      </c>
      <c r="D20" s="85" t="e">
        <f>IF(#REF!="NOT APPLICABLE","",IF(ISNUMBER(D11),D11*$R$20/100,""))</f>
        <v>#REF!</v>
      </c>
      <c r="E20" s="85">
        <f t="shared" ref="E20:P20" si="4">IF(S20="NOT APPLICABLE","",IF(ISNUMBER(E11),E11*$R$20/100,""))</f>
        <v>1.4533199999999999</v>
      </c>
      <c r="F20" s="85">
        <f t="shared" si="4"/>
        <v>1.4533199999999999</v>
      </c>
      <c r="G20" s="85">
        <f t="shared" si="4"/>
        <v>0.96888000000000007</v>
      </c>
      <c r="H20" s="85" t="str">
        <f t="shared" si="4"/>
        <v/>
      </c>
      <c r="I20" s="85" t="str">
        <f t="shared" si="4"/>
        <v/>
      </c>
      <c r="J20" s="85" t="str">
        <f t="shared" si="4"/>
        <v/>
      </c>
      <c r="K20" s="85" t="str">
        <f t="shared" si="4"/>
        <v/>
      </c>
      <c r="L20" s="85">
        <f t="shared" si="4"/>
        <v>0.96888000000000007</v>
      </c>
      <c r="M20" s="85" t="str">
        <f t="shared" si="4"/>
        <v/>
      </c>
      <c r="N20" s="85">
        <f t="shared" si="4"/>
        <v>0.96888000000000007</v>
      </c>
      <c r="O20" s="85">
        <f t="shared" si="4"/>
        <v>0.96888000000000007</v>
      </c>
      <c r="P20" s="85">
        <f t="shared" si="4"/>
        <v>0.96888000000000007</v>
      </c>
      <c r="Q20" s="85">
        <f>IF($R$17="NOT APPLICABLE","",IF(ISNUMBER(Q11),Q11*$R$17/100,""))</f>
        <v>0.96888000000000007</v>
      </c>
      <c r="R20" s="85">
        <f>COAttainment!F35</f>
        <v>48.444000000000003</v>
      </c>
    </row>
    <row r="21" spans="1:18">
      <c r="A21" s="78">
        <v>5</v>
      </c>
      <c r="B21" s="79" t="s">
        <v>8</v>
      </c>
      <c r="C21" s="85">
        <f t="shared" ref="C21:P21" si="5">IF($R$21="NOT APPLICABLE","",IF(ISNUMBER(C12),C12*$R$21/100,""))</f>
        <v>1.4533199999999999</v>
      </c>
      <c r="D21" s="85">
        <f t="shared" si="5"/>
        <v>1.4533199999999999</v>
      </c>
      <c r="E21" s="85">
        <f t="shared" si="5"/>
        <v>1.4533199999999999</v>
      </c>
      <c r="F21" s="85">
        <f t="shared" si="5"/>
        <v>0.96888000000000007</v>
      </c>
      <c r="G21" s="85">
        <f t="shared" si="5"/>
        <v>0.96888000000000007</v>
      </c>
      <c r="H21" s="85" t="str">
        <f t="shared" si="5"/>
        <v/>
      </c>
      <c r="I21" s="85" t="str">
        <f t="shared" si="5"/>
        <v/>
      </c>
      <c r="J21" s="85" t="str">
        <f t="shared" si="5"/>
        <v/>
      </c>
      <c r="K21" s="85" t="str">
        <f t="shared" si="5"/>
        <v/>
      </c>
      <c r="L21" s="85">
        <f t="shared" si="5"/>
        <v>0.96888000000000007</v>
      </c>
      <c r="M21" s="85" t="str">
        <f t="shared" si="5"/>
        <v/>
      </c>
      <c r="N21" s="85">
        <f t="shared" si="5"/>
        <v>0.96888000000000007</v>
      </c>
      <c r="O21" s="85">
        <f t="shared" si="5"/>
        <v>0.96888000000000007</v>
      </c>
      <c r="P21" s="85">
        <f t="shared" si="5"/>
        <v>0.96888000000000007</v>
      </c>
      <c r="Q21" s="85">
        <f>IF($R$17="NOT APPLICABLE","",IF(ISNUMBER(Q12),Q12*$R$17/100,""))</f>
        <v>0.96888000000000007</v>
      </c>
      <c r="R21" s="85">
        <f>COAttainment!G35</f>
        <v>48.444000000000003</v>
      </c>
    </row>
    <row r="22" spans="1:18">
      <c r="A22" s="246" t="s">
        <v>64</v>
      </c>
      <c r="B22" s="246"/>
      <c r="C22" s="86">
        <f>IF(SUMPRODUCT(--(C17:C21&lt;&gt;""))=0,"",ROUND(AVERAGE(C17:C21),2))</f>
        <v>1.26</v>
      </c>
      <c r="D22" s="86" t="e">
        <f t="shared" ref="D22:Q22" si="6">IF(SUMPRODUCT(--(D17:D21&lt;&gt;""))=0,"",ROUND(AVERAGE(D17:D21),2))</f>
        <v>#REF!</v>
      </c>
      <c r="E22" s="86">
        <f t="shared" si="6"/>
        <v>1.26</v>
      </c>
      <c r="F22" s="86">
        <f t="shared" si="6"/>
        <v>1.07</v>
      </c>
      <c r="G22" s="86">
        <f t="shared" si="6"/>
        <v>0.87</v>
      </c>
      <c r="H22" s="86" t="str">
        <f t="shared" si="6"/>
        <v/>
      </c>
      <c r="I22" s="86" t="str">
        <f t="shared" si="6"/>
        <v/>
      </c>
      <c r="J22" s="86" t="str">
        <f t="shared" si="6"/>
        <v/>
      </c>
      <c r="K22" s="86" t="str">
        <f t="shared" si="6"/>
        <v/>
      </c>
      <c r="L22" s="86">
        <f t="shared" si="6"/>
        <v>0.97</v>
      </c>
      <c r="M22" s="86" t="str">
        <f t="shared" si="6"/>
        <v/>
      </c>
      <c r="N22" s="86">
        <f t="shared" si="6"/>
        <v>0.97</v>
      </c>
      <c r="O22" s="86">
        <f t="shared" si="6"/>
        <v>0.97</v>
      </c>
      <c r="P22" s="86">
        <f t="shared" si="6"/>
        <v>0.97</v>
      </c>
      <c r="Q22" s="86">
        <f t="shared" si="6"/>
        <v>0.97</v>
      </c>
      <c r="R22" s="86">
        <f>IF(SUMPRODUCT(--(R17:R21&lt;&gt;""))=0,"",ROUND(AVERAGE(R17:R21),2))</f>
        <v>48.44</v>
      </c>
    </row>
    <row r="23" spans="1:18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  <c r="N23" s="247"/>
      <c r="O23" s="247"/>
      <c r="P23" s="247"/>
      <c r="Q23" s="83"/>
      <c r="R23" s="83"/>
    </row>
    <row r="24" spans="1:18" ht="15" customHeight="1">
      <c r="A24" s="245" t="s">
        <v>65</v>
      </c>
      <c r="B24" s="245"/>
      <c r="C24" s="245"/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245"/>
    </row>
    <row r="25" spans="1:18" ht="24">
      <c r="A25" s="85" t="s">
        <v>48</v>
      </c>
      <c r="B25" s="85" t="s">
        <v>66</v>
      </c>
      <c r="C25" s="85" t="s">
        <v>50</v>
      </c>
      <c r="D25" s="85" t="s">
        <v>51</v>
      </c>
      <c r="E25" s="85" t="s">
        <v>52</v>
      </c>
      <c r="F25" s="85" t="s">
        <v>53</v>
      </c>
      <c r="G25" s="85" t="s">
        <v>54</v>
      </c>
      <c r="H25" s="85" t="s">
        <v>55</v>
      </c>
      <c r="I25" s="85" t="s">
        <v>56</v>
      </c>
      <c r="J25" s="85" t="s">
        <v>57</v>
      </c>
      <c r="K25" s="85" t="s">
        <v>58</v>
      </c>
      <c r="L25" s="85" t="s">
        <v>59</v>
      </c>
      <c r="M25" s="85" t="s">
        <v>60</v>
      </c>
      <c r="N25" s="85" t="s">
        <v>61</v>
      </c>
      <c r="O25" s="85" t="s">
        <v>62</v>
      </c>
      <c r="P25" s="85" t="s">
        <v>63</v>
      </c>
      <c r="Q25" s="85" t="s">
        <v>158</v>
      </c>
      <c r="R25" s="84" t="s">
        <v>116</v>
      </c>
    </row>
    <row r="26" spans="1:18">
      <c r="A26" s="87">
        <v>1</v>
      </c>
      <c r="B26" s="85" t="s">
        <v>3</v>
      </c>
      <c r="C26" s="85">
        <f t="shared" ref="C26:Q26" si="7">IF($R$26="NOT APPLICABLE","",IF(ISNUMBER(C8),C8*$R$26/100,""))</f>
        <v>2.2982456140350878</v>
      </c>
      <c r="D26" s="85">
        <f t="shared" si="7"/>
        <v>0.76608187134502925</v>
      </c>
      <c r="E26" s="85">
        <f t="shared" si="7"/>
        <v>1.5321637426900585</v>
      </c>
      <c r="F26" s="85">
        <f t="shared" si="7"/>
        <v>1.5321637426900585</v>
      </c>
      <c r="G26" s="85">
        <f t="shared" si="7"/>
        <v>1.5321637426900585</v>
      </c>
      <c r="H26" s="85" t="str">
        <f t="shared" si="7"/>
        <v/>
      </c>
      <c r="I26" s="85" t="str">
        <f t="shared" si="7"/>
        <v/>
      </c>
      <c r="J26" s="85" t="str">
        <f t="shared" si="7"/>
        <v/>
      </c>
      <c r="K26" s="85" t="str">
        <f t="shared" si="7"/>
        <v/>
      </c>
      <c r="L26" s="85">
        <f t="shared" si="7"/>
        <v>1.5321637426900585</v>
      </c>
      <c r="M26" s="85" t="str">
        <f t="shared" si="7"/>
        <v/>
      </c>
      <c r="N26" s="85">
        <f t="shared" si="7"/>
        <v>1.5321637426900585</v>
      </c>
      <c r="O26" s="85">
        <f t="shared" si="7"/>
        <v>1.5321637426900585</v>
      </c>
      <c r="P26" s="85">
        <f t="shared" si="7"/>
        <v>1.5321637426900585</v>
      </c>
      <c r="Q26" s="85">
        <f t="shared" si="7"/>
        <v>1.5321637426900585</v>
      </c>
      <c r="R26" s="85">
        <f>COAttainment!C36</f>
        <v>76.608187134502927</v>
      </c>
    </row>
    <row r="27" spans="1:18">
      <c r="A27" s="87">
        <v>2</v>
      </c>
      <c r="B27" s="85" t="s">
        <v>4</v>
      </c>
      <c r="C27" s="85">
        <f t="shared" ref="C27:P27" si="8">IF($R$27="NOT APPLICABLE","",IF(ISNUMBER(C9),C9*$R$27/100,""))</f>
        <v>1.6608187134502925</v>
      </c>
      <c r="D27" s="85">
        <f t="shared" si="8"/>
        <v>2.4912280701754388</v>
      </c>
      <c r="E27" s="85">
        <f t="shared" si="8"/>
        <v>1.6608187134502925</v>
      </c>
      <c r="F27" s="85">
        <f t="shared" si="8"/>
        <v>1.6608187134502925</v>
      </c>
      <c r="G27" s="85">
        <f t="shared" si="8"/>
        <v>0.83040935672514626</v>
      </c>
      <c r="H27" s="85" t="str">
        <f t="shared" si="8"/>
        <v/>
      </c>
      <c r="I27" s="85" t="str">
        <f t="shared" si="8"/>
        <v/>
      </c>
      <c r="J27" s="85" t="str">
        <f t="shared" si="8"/>
        <v/>
      </c>
      <c r="K27" s="85" t="str">
        <f t="shared" si="8"/>
        <v/>
      </c>
      <c r="L27" s="85">
        <f t="shared" si="8"/>
        <v>1.6608187134502925</v>
      </c>
      <c r="M27" s="85" t="str">
        <f t="shared" si="8"/>
        <v/>
      </c>
      <c r="N27" s="85">
        <f t="shared" si="8"/>
        <v>1.6608187134502925</v>
      </c>
      <c r="O27" s="85">
        <f t="shared" si="8"/>
        <v>1.6608187134502925</v>
      </c>
      <c r="P27" s="85">
        <f t="shared" si="8"/>
        <v>1.6608187134502925</v>
      </c>
      <c r="Q27" s="85">
        <f>IF($R$26="NOT APPLICABLE","",IF(ISNUMBER(Q9),Q9*$R$26/100,""))</f>
        <v>1.5321637426900585</v>
      </c>
      <c r="R27" s="85">
        <f>COAttainment!D36</f>
        <v>83.040935672514621</v>
      </c>
    </row>
    <row r="28" spans="1:18">
      <c r="A28" s="87">
        <v>3</v>
      </c>
      <c r="B28" s="85" t="s">
        <v>5</v>
      </c>
      <c r="C28" s="85">
        <f t="shared" ref="C28:P28" si="9">IF($R$28="NOT APPLICABLE","",IF(ISNUMBER(C10),C10*$R$28/100,""))</f>
        <v>2.4912280701754388</v>
      </c>
      <c r="D28" s="85">
        <f t="shared" si="9"/>
        <v>2.4912280701754388</v>
      </c>
      <c r="E28" s="85">
        <f t="shared" si="9"/>
        <v>2.4912280701754388</v>
      </c>
      <c r="F28" s="85">
        <f t="shared" si="9"/>
        <v>1.6608187134502925</v>
      </c>
      <c r="G28" s="85">
        <f t="shared" si="9"/>
        <v>1.6608187134502925</v>
      </c>
      <c r="H28" s="85" t="str">
        <f t="shared" si="9"/>
        <v/>
      </c>
      <c r="I28" s="85" t="str">
        <f t="shared" si="9"/>
        <v/>
      </c>
      <c r="J28" s="85" t="str">
        <f t="shared" si="9"/>
        <v/>
      </c>
      <c r="K28" s="85" t="str">
        <f t="shared" si="9"/>
        <v/>
      </c>
      <c r="L28" s="85">
        <f t="shared" si="9"/>
        <v>1.6608187134502925</v>
      </c>
      <c r="M28" s="85" t="str">
        <f t="shared" si="9"/>
        <v/>
      </c>
      <c r="N28" s="85">
        <f t="shared" si="9"/>
        <v>1.6608187134502925</v>
      </c>
      <c r="O28" s="85">
        <f t="shared" si="9"/>
        <v>1.6608187134502925</v>
      </c>
      <c r="P28" s="85">
        <f t="shared" si="9"/>
        <v>1.6608187134502925</v>
      </c>
      <c r="Q28" s="85">
        <f>IF($R$26="NOT APPLICABLE","",IF(ISNUMBER(Q10),Q10*$R$26/100,""))</f>
        <v>1.5321637426900585</v>
      </c>
      <c r="R28" s="85">
        <f>COAttainment!E36</f>
        <v>83.040935672514621</v>
      </c>
    </row>
    <row r="29" spans="1:18">
      <c r="A29" s="87">
        <v>4</v>
      </c>
      <c r="B29" s="85" t="s">
        <v>7</v>
      </c>
      <c r="C29" s="85">
        <f t="shared" ref="C29:P29" si="10">IF($R$29="NOT APPLICABLE","",IF(ISNUMBER(C11),C11*$R$29/100,""))</f>
        <v>1.5789473684210527</v>
      </c>
      <c r="D29" s="85">
        <f t="shared" si="10"/>
        <v>2.3684210526315788</v>
      </c>
      <c r="E29" s="85">
        <f t="shared" si="10"/>
        <v>2.3684210526315788</v>
      </c>
      <c r="F29" s="85">
        <f t="shared" si="10"/>
        <v>2.3684210526315788</v>
      </c>
      <c r="G29" s="85">
        <f t="shared" si="10"/>
        <v>1.5789473684210527</v>
      </c>
      <c r="H29" s="85" t="str">
        <f t="shared" si="10"/>
        <v/>
      </c>
      <c r="I29" s="85" t="str">
        <f t="shared" si="10"/>
        <v/>
      </c>
      <c r="J29" s="85" t="str">
        <f t="shared" si="10"/>
        <v/>
      </c>
      <c r="K29" s="85" t="str">
        <f t="shared" si="10"/>
        <v/>
      </c>
      <c r="L29" s="85">
        <f t="shared" si="10"/>
        <v>1.5789473684210527</v>
      </c>
      <c r="M29" s="85" t="str">
        <f t="shared" si="10"/>
        <v/>
      </c>
      <c r="N29" s="85">
        <f t="shared" si="10"/>
        <v>1.5789473684210527</v>
      </c>
      <c r="O29" s="85">
        <f t="shared" si="10"/>
        <v>1.5789473684210527</v>
      </c>
      <c r="P29" s="85">
        <f t="shared" si="10"/>
        <v>1.5789473684210527</v>
      </c>
      <c r="Q29" s="85">
        <f>IF($R$26="NOT APPLICABLE","",IF(ISNUMBER(Q11),Q11*$R$26/100,""))</f>
        <v>1.5321637426900585</v>
      </c>
      <c r="R29" s="85">
        <f>COAttainment!F36</f>
        <v>78.94736842105263</v>
      </c>
    </row>
    <row r="30" spans="1:18">
      <c r="A30" s="87">
        <v>5</v>
      </c>
      <c r="B30" s="85" t="s">
        <v>8</v>
      </c>
      <c r="C30" s="85">
        <f t="shared" ref="C30:P30" si="11">IF($R$30="NOT APPLICABLE","",IF(ISNUMBER(C12),C12*$R$30/100,""))</f>
        <v>2.4385964912280702</v>
      </c>
      <c r="D30" s="85">
        <f t="shared" si="11"/>
        <v>2.4385964912280702</v>
      </c>
      <c r="E30" s="85">
        <f t="shared" si="11"/>
        <v>2.4385964912280702</v>
      </c>
      <c r="F30" s="85">
        <f t="shared" si="11"/>
        <v>1.625730994152047</v>
      </c>
      <c r="G30" s="85">
        <f t="shared" si="11"/>
        <v>1.625730994152047</v>
      </c>
      <c r="H30" s="85" t="str">
        <f t="shared" si="11"/>
        <v/>
      </c>
      <c r="I30" s="85" t="str">
        <f t="shared" si="11"/>
        <v/>
      </c>
      <c r="J30" s="85" t="str">
        <f t="shared" si="11"/>
        <v/>
      </c>
      <c r="K30" s="85" t="str">
        <f t="shared" si="11"/>
        <v/>
      </c>
      <c r="L30" s="85">
        <f t="shared" si="11"/>
        <v>1.625730994152047</v>
      </c>
      <c r="M30" s="85" t="str">
        <f t="shared" si="11"/>
        <v/>
      </c>
      <c r="N30" s="85">
        <f t="shared" si="11"/>
        <v>1.625730994152047</v>
      </c>
      <c r="O30" s="85">
        <f t="shared" si="11"/>
        <v>1.625730994152047</v>
      </c>
      <c r="P30" s="85">
        <f t="shared" si="11"/>
        <v>1.625730994152047</v>
      </c>
      <c r="Q30" s="85">
        <f>IF($R$26="NOT APPLICABLE","",IF(ISNUMBER(Q12),Q12*$R$26/100,""))</f>
        <v>1.5321637426900585</v>
      </c>
      <c r="R30" s="85">
        <f>COAttainment!G36</f>
        <v>81.286549707602347</v>
      </c>
    </row>
    <row r="31" spans="1:18">
      <c r="A31" s="252" t="s">
        <v>64</v>
      </c>
      <c r="B31" s="253"/>
      <c r="C31" s="85">
        <f>IF(SUMPRODUCT(--(C26:C30&lt;&gt;""))=0,"",ROUND(AVERAGE(C26:C30),2))</f>
        <v>2.09</v>
      </c>
      <c r="D31" s="85">
        <f t="shared" ref="D31:Q31" si="12">IF(SUMPRODUCT(--(D26:D30&lt;&gt;""))=0,"",ROUND(AVERAGE(D26:D30),2))</f>
        <v>2.11</v>
      </c>
      <c r="E31" s="85">
        <f t="shared" si="12"/>
        <v>2.1</v>
      </c>
      <c r="F31" s="85">
        <f t="shared" si="12"/>
        <v>1.77</v>
      </c>
      <c r="G31" s="85">
        <f t="shared" si="12"/>
        <v>1.45</v>
      </c>
      <c r="H31" s="85" t="str">
        <f t="shared" si="12"/>
        <v/>
      </c>
      <c r="I31" s="85" t="str">
        <f t="shared" si="12"/>
        <v/>
      </c>
      <c r="J31" s="85" t="str">
        <f t="shared" si="12"/>
        <v/>
      </c>
      <c r="K31" s="85" t="str">
        <f t="shared" si="12"/>
        <v/>
      </c>
      <c r="L31" s="85">
        <f t="shared" si="12"/>
        <v>1.61</v>
      </c>
      <c r="M31" s="85" t="str">
        <f t="shared" si="12"/>
        <v/>
      </c>
      <c r="N31" s="85">
        <f t="shared" si="12"/>
        <v>1.61</v>
      </c>
      <c r="O31" s="85">
        <f t="shared" si="12"/>
        <v>1.61</v>
      </c>
      <c r="P31" s="85">
        <f t="shared" si="12"/>
        <v>1.61</v>
      </c>
      <c r="Q31" s="85">
        <f t="shared" si="12"/>
        <v>1.53</v>
      </c>
      <c r="R31" s="85">
        <f>IF(SUMPRODUCT(--(R26:R30&lt;&gt;""))=0,"",ROUND(AVERAGE(R26:R30),2))</f>
        <v>80.58</v>
      </c>
    </row>
    <row r="32" spans="1:18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83"/>
    </row>
    <row r="33" spans="1:17">
      <c r="A33" s="208" t="s">
        <v>117</v>
      </c>
      <c r="B33" s="208"/>
      <c r="C33" s="208"/>
      <c r="D33" s="208"/>
      <c r="E33" s="208"/>
      <c r="F33" s="208"/>
      <c r="G33" s="208"/>
      <c r="H33" s="208"/>
      <c r="I33" s="208"/>
      <c r="J33" s="208"/>
      <c r="K33" s="208"/>
      <c r="L33" s="208"/>
      <c r="M33" s="208"/>
      <c r="N33" s="208"/>
      <c r="O33" s="208"/>
      <c r="P33" s="208"/>
      <c r="Q33" s="208"/>
    </row>
    <row r="34" spans="1:17">
      <c r="A34" s="254" t="s">
        <v>118</v>
      </c>
      <c r="B34" s="254"/>
      <c r="C34" s="110" t="s">
        <v>50</v>
      </c>
      <c r="D34" s="110" t="s">
        <v>51</v>
      </c>
      <c r="E34" s="110" t="s">
        <v>52</v>
      </c>
      <c r="F34" s="110" t="s">
        <v>53</v>
      </c>
      <c r="G34" s="110" t="s">
        <v>54</v>
      </c>
      <c r="H34" s="110" t="s">
        <v>55</v>
      </c>
      <c r="I34" s="110" t="s">
        <v>56</v>
      </c>
      <c r="J34" s="110" t="s">
        <v>57</v>
      </c>
      <c r="K34" s="110" t="s">
        <v>58</v>
      </c>
      <c r="L34" s="110" t="s">
        <v>59</v>
      </c>
      <c r="M34" s="110" t="s">
        <v>60</v>
      </c>
      <c r="N34" s="110" t="s">
        <v>61</v>
      </c>
      <c r="O34" s="111" t="s">
        <v>62</v>
      </c>
      <c r="P34" s="110" t="s">
        <v>63</v>
      </c>
      <c r="Q34" s="110" t="s">
        <v>158</v>
      </c>
    </row>
    <row r="35" spans="1:17">
      <c r="A35" s="246" t="s">
        <v>123</v>
      </c>
      <c r="B35" s="246"/>
      <c r="C35" s="86">
        <f t="shared" ref="C35:Q35" si="13">C22</f>
        <v>1.26</v>
      </c>
      <c r="D35" s="86" t="e">
        <f t="shared" si="13"/>
        <v>#REF!</v>
      </c>
      <c r="E35" s="86">
        <f t="shared" si="13"/>
        <v>1.26</v>
      </c>
      <c r="F35" s="86">
        <f t="shared" si="13"/>
        <v>1.07</v>
      </c>
      <c r="G35" s="86">
        <f t="shared" si="13"/>
        <v>0.87</v>
      </c>
      <c r="H35" s="86" t="str">
        <f t="shared" si="13"/>
        <v/>
      </c>
      <c r="I35" s="86" t="str">
        <f t="shared" si="13"/>
        <v/>
      </c>
      <c r="J35" s="86" t="str">
        <f t="shared" si="13"/>
        <v/>
      </c>
      <c r="K35" s="86" t="str">
        <f t="shared" si="13"/>
        <v/>
      </c>
      <c r="L35" s="86">
        <f t="shared" si="13"/>
        <v>0.97</v>
      </c>
      <c r="M35" s="86" t="str">
        <f t="shared" si="13"/>
        <v/>
      </c>
      <c r="N35" s="86">
        <f t="shared" si="13"/>
        <v>0.97</v>
      </c>
      <c r="O35" s="86">
        <f t="shared" si="13"/>
        <v>0.97</v>
      </c>
      <c r="P35" s="86">
        <f t="shared" si="13"/>
        <v>0.97</v>
      </c>
      <c r="Q35" s="86">
        <f t="shared" si="13"/>
        <v>0.97</v>
      </c>
    </row>
    <row r="36" spans="1:17">
      <c r="A36" s="246" t="s">
        <v>124</v>
      </c>
      <c r="B36" s="246"/>
      <c r="C36" s="86">
        <f>C31</f>
        <v>2.09</v>
      </c>
      <c r="D36" s="86">
        <f t="shared" ref="D36:O36" si="14">D31</f>
        <v>2.11</v>
      </c>
      <c r="E36" s="86">
        <f t="shared" si="14"/>
        <v>2.1</v>
      </c>
      <c r="F36" s="86">
        <f t="shared" si="14"/>
        <v>1.77</v>
      </c>
      <c r="G36" s="86">
        <f t="shared" si="14"/>
        <v>1.45</v>
      </c>
      <c r="H36" s="86" t="str">
        <f t="shared" si="14"/>
        <v/>
      </c>
      <c r="I36" s="86" t="str">
        <f t="shared" si="14"/>
        <v/>
      </c>
      <c r="J36" s="86" t="str">
        <f t="shared" si="14"/>
        <v/>
      </c>
      <c r="K36" s="86" t="str">
        <f t="shared" si="14"/>
        <v/>
      </c>
      <c r="L36" s="86">
        <f t="shared" si="14"/>
        <v>1.61</v>
      </c>
      <c r="M36" s="86" t="str">
        <f t="shared" si="14"/>
        <v/>
      </c>
      <c r="N36" s="86">
        <f t="shared" si="14"/>
        <v>1.61</v>
      </c>
      <c r="O36" s="86">
        <f t="shared" si="14"/>
        <v>1.61</v>
      </c>
      <c r="P36" s="86">
        <f>P31</f>
        <v>1.61</v>
      </c>
      <c r="Q36" s="86">
        <f>Q31</f>
        <v>1.53</v>
      </c>
    </row>
    <row r="37" spans="1:17">
      <c r="A37" s="246" t="s">
        <v>119</v>
      </c>
      <c r="B37" s="246"/>
      <c r="C37" s="86">
        <f>IF(SUMPRODUCT(--(C26:C30&lt;&gt;""))=0,"",ROUND((0.8*C35+0.2*C36),2))</f>
        <v>1.43</v>
      </c>
      <c r="D37" s="86" t="e">
        <f t="shared" ref="D37:O37" si="15">IF(SUMPRODUCT(--(D26:D30&lt;&gt;""))=0,"",ROUND((0.8*D35+0.2*D36),2))</f>
        <v>#REF!</v>
      </c>
      <c r="E37" s="86">
        <f t="shared" si="15"/>
        <v>1.43</v>
      </c>
      <c r="F37" s="86">
        <f t="shared" si="15"/>
        <v>1.21</v>
      </c>
      <c r="G37" s="86">
        <f t="shared" si="15"/>
        <v>0.99</v>
      </c>
      <c r="H37" s="86" t="str">
        <f t="shared" si="15"/>
        <v/>
      </c>
      <c r="I37" s="86" t="str">
        <f t="shared" si="15"/>
        <v/>
      </c>
      <c r="J37" s="86" t="str">
        <f t="shared" si="15"/>
        <v/>
      </c>
      <c r="K37" s="86" t="str">
        <f t="shared" si="15"/>
        <v/>
      </c>
      <c r="L37" s="86">
        <f t="shared" si="15"/>
        <v>1.1000000000000001</v>
      </c>
      <c r="M37" s="86" t="str">
        <f t="shared" si="15"/>
        <v/>
      </c>
      <c r="N37" s="86">
        <f t="shared" si="15"/>
        <v>1.1000000000000001</v>
      </c>
      <c r="O37" s="86">
        <f t="shared" si="15"/>
        <v>1.1000000000000001</v>
      </c>
      <c r="P37" s="86">
        <f>IF(SUMPRODUCT(--(P26:P30&lt;&gt;""))=0,"",ROUND((0.8*P35+0.2*P36),2))</f>
        <v>1.1000000000000001</v>
      </c>
      <c r="Q37" s="86">
        <f>IF(SUMPRODUCT(--(Q26:Q30&lt;&gt;""))=0,"",ROUND((0.8*Q35+0.2*Q36),2))</f>
        <v>1.08</v>
      </c>
    </row>
  </sheetData>
  <mergeCells count="20">
    <mergeCell ref="A37:B37"/>
    <mergeCell ref="A31:B31"/>
    <mergeCell ref="A34:B34"/>
    <mergeCell ref="A35:B35"/>
    <mergeCell ref="A36:B36"/>
    <mergeCell ref="A33:Q33"/>
    <mergeCell ref="A24:R24"/>
    <mergeCell ref="A22:B22"/>
    <mergeCell ref="A23:P23"/>
    <mergeCell ref="A1:Q1"/>
    <mergeCell ref="A2:Q2"/>
    <mergeCell ref="A3:D3"/>
    <mergeCell ref="E3:Q3"/>
    <mergeCell ref="A4:D4"/>
    <mergeCell ref="J4:Q4"/>
    <mergeCell ref="E4:I4"/>
    <mergeCell ref="A5:Q5"/>
    <mergeCell ref="A13:B13"/>
    <mergeCell ref="A6:Q6"/>
    <mergeCell ref="A15:R15"/>
  </mergeCells>
  <conditionalFormatting sqref="R31 C8:Q13 C17:R22 C26:Q31 C35:Q37">
    <cfRule type="containsBlanks" dxfId="0" priority="2">
      <formula>LEN(TRIM(C8))=0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44"/>
  <sheetViews>
    <sheetView workbookViewId="0">
      <selection activeCell="M17" sqref="M17"/>
    </sheetView>
  </sheetViews>
  <sheetFormatPr defaultRowHeight="15"/>
  <cols>
    <col min="1" max="15" width="9.140625" style="16"/>
    <col min="16" max="16" width="22.140625" style="16" bestFit="1" customWidth="1"/>
    <col min="17" max="16384" width="9.140625" style="16"/>
  </cols>
  <sheetData>
    <row r="1" spans="1:17" ht="18.75">
      <c r="A1" s="184" t="s">
        <v>148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262" t="s">
        <v>154</v>
      </c>
    </row>
    <row r="2" spans="1:17" ht="18.75">
      <c r="A2" s="184" t="s">
        <v>153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262"/>
    </row>
    <row r="3" spans="1:17" ht="18.75">
      <c r="A3" s="263" t="str">
        <f>'DATA INPUT SHEET'!A3:E3</f>
        <v>Semester: III</v>
      </c>
      <c r="B3" s="263"/>
      <c r="C3" s="263"/>
      <c r="D3" s="263"/>
      <c r="E3" s="263"/>
      <c r="F3" s="263"/>
      <c r="G3" s="263" t="str">
        <f>'DATA INPUT SHEET'!E3</f>
        <v>Name of the Faculty: Dr. Prateek Gangwar</v>
      </c>
      <c r="H3" s="263"/>
      <c r="I3" s="263"/>
      <c r="J3" s="263"/>
      <c r="K3" s="263"/>
      <c r="L3" s="263"/>
      <c r="M3" s="263"/>
      <c r="N3" s="263"/>
      <c r="O3" s="263"/>
      <c r="P3" s="262"/>
    </row>
    <row r="4" spans="1:17" ht="18.75">
      <c r="A4" s="263" t="str">
        <f>'DATA INPUT SHEET'!A4:E4</f>
        <v>Subject Code: BME-303</v>
      </c>
      <c r="B4" s="263"/>
      <c r="C4" s="263"/>
      <c r="D4" s="263"/>
      <c r="E4" s="263"/>
      <c r="F4" s="263"/>
      <c r="G4" s="29" t="str">
        <f>'DATA INPUT SHEET'!F4</f>
        <v>Total No. of Students: 18</v>
      </c>
      <c r="H4" s="29"/>
      <c r="I4" s="29"/>
      <c r="J4" s="29"/>
      <c r="K4" s="263" t="str">
        <f>'DATA INPUT SHEET'!K4</f>
        <v>Subject Name:Materials Engineering</v>
      </c>
      <c r="L4" s="263"/>
      <c r="M4" s="263"/>
      <c r="N4" s="263"/>
      <c r="O4" s="263"/>
      <c r="P4" s="262"/>
    </row>
    <row r="5" spans="1:17">
      <c r="A5" s="260" t="str">
        <f>'DATA INPUT SHEET'!A9:C9</f>
        <v>CO1</v>
      </c>
      <c r="B5" s="260"/>
      <c r="C5" s="260"/>
      <c r="D5" s="260" t="str">
        <f>'DATA INPUT SHEET'!D9:Q9</f>
        <v>Student will be able to identify crystal structures for various materials and understand the defects in such structures</v>
      </c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105" t="s">
        <v>156</v>
      </c>
      <c r="Q5" s="30"/>
    </row>
    <row r="6" spans="1:17">
      <c r="A6" s="260" t="str">
        <f>'DATA INPUT SHEET'!A10:C10</f>
        <v>CO2</v>
      </c>
      <c r="B6" s="260"/>
      <c r="C6" s="260"/>
      <c r="D6" s="260" t="str">
        <f>'DATA INPUT SHEET'!D10:Q10</f>
        <v>Understand how to tailor material properties of ferrous and non-ferrous alloys.</v>
      </c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105" t="s">
        <v>156</v>
      </c>
    </row>
    <row r="7" spans="1:17">
      <c r="A7" s="260" t="str">
        <f>'DATA INPUT SHEET'!A11:C11</f>
        <v>CO3</v>
      </c>
      <c r="B7" s="260"/>
      <c r="C7" s="260"/>
      <c r="D7" s="260" t="str">
        <f>'DATA INPUT SHEET'!D11:Q11</f>
        <v>To understand method of Grinding &amp; Superfinishing for betterment of the manufacturing product.</v>
      </c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105" t="s">
        <v>156</v>
      </c>
    </row>
    <row r="8" spans="1:17">
      <c r="A8" s="260" t="str">
        <f>'DATA INPUT SHEET'!A12:C12</f>
        <v>CO4</v>
      </c>
      <c r="B8" s="260"/>
      <c r="C8" s="260"/>
      <c r="D8" s="260" t="str">
        <f>'DATA INPUT SHEET'!D12:Q12</f>
        <v>To learn various hardness test.</v>
      </c>
      <c r="E8" s="260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105" t="s">
        <v>156</v>
      </c>
    </row>
    <row r="9" spans="1:17">
      <c r="A9" s="260" t="str">
        <f>'DATA INPUT SHEET'!A13:C13</f>
        <v>CO5</v>
      </c>
      <c r="B9" s="260"/>
      <c r="C9" s="260"/>
      <c r="D9" s="260" t="str">
        <f>'DATA INPUT SHEET'!D13:Q13</f>
        <v>Basic knowledge of NDT.</v>
      </c>
      <c r="E9" s="260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105" t="s">
        <v>156</v>
      </c>
    </row>
    <row r="11" spans="1:17" ht="15.75">
      <c r="A11" s="261" t="s">
        <v>110</v>
      </c>
      <c r="B11" s="261"/>
      <c r="C11" s="261"/>
      <c r="D11" s="261"/>
      <c r="E11" s="261"/>
      <c r="F11" s="261"/>
      <c r="G11" s="261"/>
      <c r="H11" s="261"/>
      <c r="I11" s="261"/>
      <c r="J11" s="261"/>
    </row>
    <row r="12" spans="1:17">
      <c r="A12" s="255" t="s">
        <v>26</v>
      </c>
      <c r="B12" s="255"/>
      <c r="C12" s="255" t="s">
        <v>24</v>
      </c>
      <c r="D12" s="255"/>
      <c r="E12" s="255"/>
      <c r="F12" s="255"/>
      <c r="G12" s="255"/>
      <c r="H12" s="255"/>
      <c r="I12" s="255"/>
      <c r="J12" s="27" t="s">
        <v>27</v>
      </c>
    </row>
    <row r="13" spans="1:17">
      <c r="A13" s="256" t="s">
        <v>28</v>
      </c>
      <c r="B13" s="257"/>
      <c r="C13" s="258" t="s">
        <v>29</v>
      </c>
      <c r="D13" s="258"/>
      <c r="E13" s="258"/>
      <c r="F13" s="258"/>
      <c r="G13" s="258"/>
      <c r="H13" s="258"/>
      <c r="I13" s="258"/>
      <c r="J13" s="28">
        <v>3</v>
      </c>
    </row>
    <row r="14" spans="1:17">
      <c r="A14" s="256" t="s">
        <v>30</v>
      </c>
      <c r="B14" s="257"/>
      <c r="C14" s="258" t="s">
        <v>31</v>
      </c>
      <c r="D14" s="258"/>
      <c r="E14" s="258"/>
      <c r="F14" s="258"/>
      <c r="G14" s="258"/>
      <c r="H14" s="258"/>
      <c r="I14" s="258"/>
      <c r="J14" s="28">
        <v>2</v>
      </c>
    </row>
    <row r="15" spans="1:17">
      <c r="A15" s="256" t="s">
        <v>32</v>
      </c>
      <c r="B15" s="257"/>
      <c r="C15" s="258" t="s">
        <v>33</v>
      </c>
      <c r="D15" s="258"/>
      <c r="E15" s="258"/>
      <c r="F15" s="258"/>
      <c r="G15" s="258"/>
      <c r="H15" s="258"/>
      <c r="I15" s="258"/>
      <c r="J15" s="28">
        <v>1</v>
      </c>
    </row>
    <row r="16" spans="1:17">
      <c r="A16" s="256" t="s">
        <v>34</v>
      </c>
      <c r="B16" s="257"/>
      <c r="C16" s="258" t="s">
        <v>35</v>
      </c>
      <c r="D16" s="258"/>
      <c r="E16" s="258"/>
      <c r="F16" s="258"/>
      <c r="G16" s="258"/>
      <c r="H16" s="258"/>
      <c r="I16" s="258"/>
      <c r="J16" s="28">
        <v>0</v>
      </c>
    </row>
    <row r="21" spans="1:17">
      <c r="L21" s="259" t="s">
        <v>157</v>
      </c>
      <c r="M21" s="259"/>
      <c r="N21" s="259"/>
      <c r="O21" s="259"/>
      <c r="P21" s="259"/>
    </row>
    <row r="24" spans="1:17" ht="18.75">
      <c r="A24" s="184" t="s">
        <v>148</v>
      </c>
      <c r="B24" s="184"/>
      <c r="C24" s="184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262" t="s">
        <v>154</v>
      </c>
    </row>
    <row r="25" spans="1:17" ht="18.75">
      <c r="A25" s="184" t="s">
        <v>153</v>
      </c>
      <c r="B25" s="184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262"/>
    </row>
    <row r="26" spans="1:17" ht="18.75">
      <c r="A26" s="263" t="str">
        <f>'DATA INPUT SHEET'!A3:E3</f>
        <v>Semester: III</v>
      </c>
      <c r="B26" s="263"/>
      <c r="C26" s="263"/>
      <c r="D26" s="263"/>
      <c r="E26" s="263"/>
      <c r="F26" s="263"/>
      <c r="G26" s="263" t="str">
        <f>'DATA INPUT SHEET'!E3</f>
        <v>Name of the Faculty: Dr. Prateek Gangwar</v>
      </c>
      <c r="H26" s="263"/>
      <c r="I26" s="263"/>
      <c r="J26" s="263"/>
      <c r="K26" s="263"/>
      <c r="L26" s="263"/>
      <c r="M26" s="263"/>
      <c r="N26" s="263"/>
      <c r="O26" s="263"/>
      <c r="P26" s="262"/>
    </row>
    <row r="27" spans="1:17" ht="18.75">
      <c r="A27" s="263" t="str">
        <f>'DATA INPUT SHEET'!A4:E4</f>
        <v>Subject Code: BME-303</v>
      </c>
      <c r="B27" s="263"/>
      <c r="C27" s="263"/>
      <c r="D27" s="263"/>
      <c r="E27" s="263"/>
      <c r="F27" s="263"/>
      <c r="G27" s="29" t="str">
        <f>'DATA INPUT SHEET'!F4</f>
        <v>Total No. of Students: 18</v>
      </c>
      <c r="H27" s="29"/>
      <c r="I27" s="29"/>
      <c r="J27" s="29"/>
      <c r="K27" s="263" t="str">
        <f>'DATA INPUT SHEET'!K4</f>
        <v>Subject Name:Materials Engineering</v>
      </c>
      <c r="L27" s="263"/>
      <c r="M27" s="263"/>
      <c r="N27" s="263"/>
      <c r="O27" s="263"/>
      <c r="P27" s="262"/>
    </row>
    <row r="28" spans="1:17">
      <c r="A28" s="260" t="str">
        <f>'DATA INPUT SHEET'!A9:C9</f>
        <v>CO1</v>
      </c>
      <c r="B28" s="260"/>
      <c r="C28" s="260"/>
      <c r="D28" s="260" t="str">
        <f>'DATA INPUT SHEET'!D9:Q9</f>
        <v>Student will be able to identify crystal structures for various materials and understand the defects in such structures</v>
      </c>
      <c r="E28" s="260"/>
      <c r="F28" s="260"/>
      <c r="G28" s="260"/>
      <c r="H28" s="260"/>
      <c r="I28" s="260"/>
      <c r="J28" s="260"/>
      <c r="K28" s="260"/>
      <c r="L28" s="260"/>
      <c r="M28" s="260"/>
      <c r="N28" s="260"/>
      <c r="O28" s="260"/>
      <c r="P28" s="105" t="s">
        <v>156</v>
      </c>
      <c r="Q28" s="30"/>
    </row>
    <row r="29" spans="1:17">
      <c r="A29" s="260" t="str">
        <f>'DATA INPUT SHEET'!A10:C10</f>
        <v>CO2</v>
      </c>
      <c r="B29" s="260"/>
      <c r="C29" s="260"/>
      <c r="D29" s="260" t="str">
        <f>'DATA INPUT SHEET'!D10:Q10</f>
        <v>Understand how to tailor material properties of ferrous and non-ferrous alloys.</v>
      </c>
      <c r="E29" s="260"/>
      <c r="F29" s="260"/>
      <c r="G29" s="260"/>
      <c r="H29" s="260"/>
      <c r="I29" s="260"/>
      <c r="J29" s="260"/>
      <c r="K29" s="260"/>
      <c r="L29" s="260"/>
      <c r="M29" s="260"/>
      <c r="N29" s="260"/>
      <c r="O29" s="260"/>
      <c r="P29" s="105" t="s">
        <v>156</v>
      </c>
    </row>
    <row r="30" spans="1:17">
      <c r="A30" s="260" t="str">
        <f>'DATA INPUT SHEET'!A11:C11</f>
        <v>CO3</v>
      </c>
      <c r="B30" s="260"/>
      <c r="C30" s="260"/>
      <c r="D30" s="260" t="str">
        <f>'DATA INPUT SHEET'!D11:Q11</f>
        <v>To understand method of Grinding &amp; Superfinishing for betterment of the manufacturing product.</v>
      </c>
      <c r="E30" s="260"/>
      <c r="F30" s="260"/>
      <c r="G30" s="260"/>
      <c r="H30" s="260"/>
      <c r="I30" s="260"/>
      <c r="J30" s="260"/>
      <c r="K30" s="260"/>
      <c r="L30" s="260"/>
      <c r="M30" s="260"/>
      <c r="N30" s="260"/>
      <c r="O30" s="260"/>
      <c r="P30" s="105" t="s">
        <v>156</v>
      </c>
    </row>
    <row r="31" spans="1:17">
      <c r="A31" s="260" t="str">
        <f>'DATA INPUT SHEET'!A12:C12</f>
        <v>CO4</v>
      </c>
      <c r="B31" s="260"/>
      <c r="C31" s="260"/>
      <c r="D31" s="260" t="str">
        <f>'DATA INPUT SHEET'!D12:Q12</f>
        <v>To learn various hardness test.</v>
      </c>
      <c r="E31" s="260"/>
      <c r="F31" s="260"/>
      <c r="G31" s="260"/>
      <c r="H31" s="260"/>
      <c r="I31" s="260"/>
      <c r="J31" s="260"/>
      <c r="K31" s="260"/>
      <c r="L31" s="260"/>
      <c r="M31" s="260"/>
      <c r="N31" s="260"/>
      <c r="O31" s="260"/>
      <c r="P31" s="105" t="s">
        <v>156</v>
      </c>
    </row>
    <row r="32" spans="1:17">
      <c r="A32" s="260" t="str">
        <f>'DATA INPUT SHEET'!A13:C13</f>
        <v>CO5</v>
      </c>
      <c r="B32" s="260"/>
      <c r="C32" s="260"/>
      <c r="D32" s="260" t="str">
        <f>'DATA INPUT SHEET'!D13:Q13</f>
        <v>Basic knowledge of NDT.</v>
      </c>
      <c r="E32" s="260"/>
      <c r="F32" s="260"/>
      <c r="G32" s="260"/>
      <c r="H32" s="260"/>
      <c r="I32" s="260"/>
      <c r="J32" s="260"/>
      <c r="K32" s="260"/>
      <c r="L32" s="260"/>
      <c r="M32" s="260"/>
      <c r="N32" s="260"/>
      <c r="O32" s="260"/>
      <c r="P32" s="105" t="s">
        <v>156</v>
      </c>
    </row>
    <row r="34" spans="1:16" ht="15.75">
      <c r="A34" s="261" t="s">
        <v>110</v>
      </c>
      <c r="B34" s="261"/>
      <c r="C34" s="261"/>
      <c r="D34" s="261"/>
      <c r="E34" s="261"/>
      <c r="F34" s="261"/>
      <c r="G34" s="261"/>
      <c r="H34" s="261"/>
      <c r="I34" s="261"/>
      <c r="J34" s="261"/>
    </row>
    <row r="35" spans="1:16">
      <c r="A35" s="255" t="s">
        <v>26</v>
      </c>
      <c r="B35" s="255"/>
      <c r="C35" s="255" t="s">
        <v>24</v>
      </c>
      <c r="D35" s="255"/>
      <c r="E35" s="255"/>
      <c r="F35" s="255"/>
      <c r="G35" s="255"/>
      <c r="H35" s="255"/>
      <c r="I35" s="255"/>
      <c r="J35" s="104" t="s">
        <v>27</v>
      </c>
    </row>
    <row r="36" spans="1:16">
      <c r="A36" s="256" t="s">
        <v>28</v>
      </c>
      <c r="B36" s="257"/>
      <c r="C36" s="258" t="s">
        <v>29</v>
      </c>
      <c r="D36" s="258"/>
      <c r="E36" s="258"/>
      <c r="F36" s="258"/>
      <c r="G36" s="258"/>
      <c r="H36" s="258"/>
      <c r="I36" s="258"/>
      <c r="J36" s="103">
        <v>3</v>
      </c>
    </row>
    <row r="37" spans="1:16">
      <c r="A37" s="256" t="s">
        <v>30</v>
      </c>
      <c r="B37" s="257"/>
      <c r="C37" s="258" t="s">
        <v>31</v>
      </c>
      <c r="D37" s="258"/>
      <c r="E37" s="258"/>
      <c r="F37" s="258"/>
      <c r="G37" s="258"/>
      <c r="H37" s="258"/>
      <c r="I37" s="258"/>
      <c r="J37" s="103">
        <v>2</v>
      </c>
    </row>
    <row r="38" spans="1:16">
      <c r="A38" s="256" t="s">
        <v>32</v>
      </c>
      <c r="B38" s="257"/>
      <c r="C38" s="258" t="s">
        <v>33</v>
      </c>
      <c r="D38" s="258"/>
      <c r="E38" s="258"/>
      <c r="F38" s="258"/>
      <c r="G38" s="258"/>
      <c r="H38" s="258"/>
      <c r="I38" s="258"/>
      <c r="J38" s="103">
        <v>1</v>
      </c>
    </row>
    <row r="39" spans="1:16">
      <c r="A39" s="256" t="s">
        <v>34</v>
      </c>
      <c r="B39" s="257"/>
      <c r="C39" s="258" t="s">
        <v>35</v>
      </c>
      <c r="D39" s="258"/>
      <c r="E39" s="258"/>
      <c r="F39" s="258"/>
      <c r="G39" s="258"/>
      <c r="H39" s="258"/>
      <c r="I39" s="258"/>
      <c r="J39" s="103">
        <v>0</v>
      </c>
    </row>
    <row r="44" spans="1:16">
      <c r="L44" s="259" t="s">
        <v>157</v>
      </c>
      <c r="M44" s="259"/>
      <c r="N44" s="259"/>
      <c r="O44" s="259"/>
      <c r="P44" s="259"/>
    </row>
  </sheetData>
  <protectedRanges>
    <protectedRange sqref="J13:J16 J36:J39" name="Range2"/>
    <protectedRange sqref="P5:P9 P28:P32" name="Range1"/>
  </protectedRanges>
  <mergeCells count="58">
    <mergeCell ref="A12:B12"/>
    <mergeCell ref="C12:I12"/>
    <mergeCell ref="A13:B13"/>
    <mergeCell ref="C13:I13"/>
    <mergeCell ref="A5:C5"/>
    <mergeCell ref="A6:C6"/>
    <mergeCell ref="A7:C7"/>
    <mergeCell ref="A8:C8"/>
    <mergeCell ref="A11:J11"/>
    <mergeCell ref="D5:O5"/>
    <mergeCell ref="A9:C9"/>
    <mergeCell ref="D6:O6"/>
    <mergeCell ref="D7:O7"/>
    <mergeCell ref="D8:O8"/>
    <mergeCell ref="D9:O9"/>
    <mergeCell ref="A14:B14"/>
    <mergeCell ref="C14:I14"/>
    <mergeCell ref="A15:B15"/>
    <mergeCell ref="C15:I15"/>
    <mergeCell ref="A16:B16"/>
    <mergeCell ref="C16:I16"/>
    <mergeCell ref="P1:P4"/>
    <mergeCell ref="A1:O1"/>
    <mergeCell ref="A2:O2"/>
    <mergeCell ref="G3:O3"/>
    <mergeCell ref="A3:F3"/>
    <mergeCell ref="A4:F4"/>
    <mergeCell ref="K4:O4"/>
    <mergeCell ref="L21:P21"/>
    <mergeCell ref="A24:O24"/>
    <mergeCell ref="P24:P27"/>
    <mergeCell ref="A25:O25"/>
    <mergeCell ref="A26:F26"/>
    <mergeCell ref="G26:O26"/>
    <mergeCell ref="A27:F27"/>
    <mergeCell ref="K27:O27"/>
    <mergeCell ref="A28:C28"/>
    <mergeCell ref="D28:O28"/>
    <mergeCell ref="A29:C29"/>
    <mergeCell ref="D29:O29"/>
    <mergeCell ref="A30:C30"/>
    <mergeCell ref="D30:O30"/>
    <mergeCell ref="A31:C31"/>
    <mergeCell ref="D31:O31"/>
    <mergeCell ref="A32:C32"/>
    <mergeCell ref="D32:O32"/>
    <mergeCell ref="A34:J34"/>
    <mergeCell ref="A35:B35"/>
    <mergeCell ref="C35:I35"/>
    <mergeCell ref="A39:B39"/>
    <mergeCell ref="C39:I39"/>
    <mergeCell ref="L44:P44"/>
    <mergeCell ref="A36:B36"/>
    <mergeCell ref="C36:I36"/>
    <mergeCell ref="A37:B37"/>
    <mergeCell ref="C37:I37"/>
    <mergeCell ref="A38:B38"/>
    <mergeCell ref="C38:I38"/>
  </mergeCells>
  <pageMargins left="0.70866141732283472" right="0.17" top="0.37" bottom="0.4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DATA INPUT SHEET</vt:lpstr>
      <vt:lpstr>Internal</vt:lpstr>
      <vt:lpstr>Student Feedback Analysis</vt:lpstr>
      <vt:lpstr>UNIVERSITY</vt:lpstr>
      <vt:lpstr>COAttainment</vt:lpstr>
      <vt:lpstr>Indirect</vt:lpstr>
      <vt:lpstr>POAttainment</vt:lpstr>
      <vt:lpstr>Feedback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Vaibhav Purwar</dc:creator>
  <cp:lastModifiedBy>Admin</cp:lastModifiedBy>
  <cp:lastPrinted>2023-02-03T03:41:01Z</cp:lastPrinted>
  <dcterms:created xsi:type="dcterms:W3CDTF">2020-09-28T09:19:28Z</dcterms:created>
  <dcterms:modified xsi:type="dcterms:W3CDTF">2024-12-09T11:08:26Z</dcterms:modified>
</cp:coreProperties>
</file>